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melectronics-my.sharepoint.com/personal/seanc_hme_com/Documents/Documents/"/>
    </mc:Choice>
  </mc:AlternateContent>
  <xr:revisionPtr revIDLastSave="11" documentId="13_ncr:1_{58FB07A8-4CCE-4526-A210-3D95810B12E2}" xr6:coauthVersionLast="47" xr6:coauthVersionMax="47" xr10:uidLastSave="{395BF92B-A978-4D1C-BAE9-0BEFB7A03F09}"/>
  <workbookProtection workbookAlgorithmName="SHA-512" workbookHashValue="vofr8jEqEwio5BXSNKjuI94BufvE/6wUdDrN/slTfKThjoR4dp5iK7AbBYY3PUszdLtXdCbrWCYeijyQmuGlkg==" workbookSaltValue="JBKHpiGSETnZ1SRnI6IKag==" workbookSpinCount="100000" lockStructure="1"/>
  <bookViews>
    <workbookView xWindow="-7260" yWindow="-13860" windowWidth="28800" windowHeight="11295" tabRatio="244" xr2:uid="{00000000-000D-0000-FFFF-FFFF00000000}"/>
  </bookViews>
  <sheets>
    <sheet name="Eclipse System Calculator" sheetId="2" r:id="rId1"/>
    <sheet name="Data" sheetId="4" r:id="rId2"/>
    <sheet name="PSU Option Button - Ignore" sheetId="5" state="hidden" r:id="rId3"/>
  </sheets>
  <definedNames>
    <definedName name="_xlnm.Print_Area" localSheetId="0">'Eclipse System Calculator'!$A$1:$O$64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60" i="2"/>
  <c r="C61" i="2"/>
  <c r="K61" i="2" l="1"/>
  <c r="C58" i="2" l="1"/>
  <c r="S58" i="2"/>
  <c r="K58" i="2"/>
  <c r="U30" i="2"/>
  <c r="V30" i="2"/>
  <c r="W30" i="2"/>
  <c r="T30" i="2"/>
  <c r="M30" i="2"/>
  <c r="N30" i="2"/>
  <c r="O30" i="2"/>
  <c r="L30" i="2"/>
  <c r="E30" i="2"/>
  <c r="F30" i="2"/>
  <c r="G30" i="2"/>
  <c r="D30" i="2"/>
  <c r="D29" i="2"/>
  <c r="F24" i="4"/>
  <c r="U29" i="2" l="1"/>
  <c r="V29" i="2"/>
  <c r="W29" i="2"/>
  <c r="T29" i="2"/>
  <c r="M29" i="2"/>
  <c r="N29" i="2"/>
  <c r="O29" i="2"/>
  <c r="L29" i="2"/>
  <c r="E29" i="2"/>
  <c r="F29" i="2"/>
  <c r="G29" i="2"/>
  <c r="F23" i="4"/>
  <c r="F22" i="4" l="1"/>
  <c r="L28" i="2" l="1"/>
  <c r="M28" i="2"/>
  <c r="N28" i="2"/>
  <c r="O28" i="2"/>
  <c r="T28" i="2"/>
  <c r="U28" i="2"/>
  <c r="V28" i="2"/>
  <c r="W28" i="2"/>
  <c r="D28" i="2"/>
  <c r="E28" i="2"/>
  <c r="F28" i="2"/>
  <c r="G28" i="2"/>
  <c r="S40" i="4" l="1"/>
  <c r="S39" i="4"/>
  <c r="H27" i="4" l="1"/>
  <c r="I27" i="4"/>
  <c r="H28" i="4"/>
  <c r="I28" i="4"/>
  <c r="H29" i="4"/>
  <c r="I29" i="4"/>
  <c r="H30" i="4"/>
  <c r="I30" i="4"/>
  <c r="H31" i="4"/>
  <c r="I31" i="4"/>
  <c r="I32" i="4"/>
  <c r="H32" i="4"/>
  <c r="F16" i="4"/>
  <c r="F17" i="4"/>
  <c r="F18" i="4"/>
  <c r="F19" i="4"/>
  <c r="F20" i="4"/>
  <c r="F12" i="4"/>
  <c r="F11" i="4"/>
  <c r="F10" i="4"/>
  <c r="F9" i="4"/>
  <c r="F28" i="4"/>
  <c r="F29" i="4"/>
  <c r="F30" i="4"/>
  <c r="F31" i="4"/>
  <c r="F32" i="4"/>
  <c r="F27" i="4"/>
  <c r="K9" i="4"/>
  <c r="O9" i="4" s="1"/>
  <c r="L9" i="4"/>
  <c r="P9" i="4" s="1"/>
  <c r="M9" i="4"/>
  <c r="Q9" i="4" s="1"/>
  <c r="J9" i="4"/>
  <c r="N9" i="4" s="1"/>
  <c r="N10" i="4"/>
  <c r="O10" i="4"/>
  <c r="P10" i="4"/>
  <c r="Q10" i="4"/>
  <c r="K8" i="4"/>
  <c r="O8" i="4" s="1"/>
  <c r="L8" i="4"/>
  <c r="P8" i="4" s="1"/>
  <c r="M8" i="4"/>
  <c r="Q8" i="4" s="1"/>
  <c r="J8" i="4"/>
  <c r="N8" i="4" s="1"/>
  <c r="R4" i="4"/>
  <c r="R5" i="4"/>
  <c r="R6" i="4"/>
  <c r="R7" i="4"/>
  <c r="R3" i="4"/>
  <c r="U18" i="2"/>
  <c r="T18" i="2"/>
  <c r="V18" i="2"/>
  <c r="W18" i="2"/>
  <c r="W17" i="2"/>
  <c r="V17" i="2"/>
  <c r="U17" i="2"/>
  <c r="T17" i="2"/>
  <c r="S59" i="2"/>
  <c r="W41" i="2"/>
  <c r="W40" i="2"/>
  <c r="W39" i="2"/>
  <c r="W38" i="2"/>
  <c r="W37" i="2"/>
  <c r="V41" i="2"/>
  <c r="V40" i="2"/>
  <c r="V39" i="2"/>
  <c r="V38" i="2"/>
  <c r="V37" i="2"/>
  <c r="U40" i="2"/>
  <c r="U39" i="2"/>
  <c r="U38" i="2"/>
  <c r="U37" i="2"/>
  <c r="U41" i="2"/>
  <c r="T38" i="2"/>
  <c r="T39" i="2"/>
  <c r="T40" i="2"/>
  <c r="T41" i="2"/>
  <c r="T37" i="2"/>
  <c r="W36" i="2"/>
  <c r="V36" i="2"/>
  <c r="U36" i="2"/>
  <c r="T36" i="2"/>
  <c r="W27" i="2"/>
  <c r="V27" i="2"/>
  <c r="U27" i="2"/>
  <c r="T27" i="2"/>
  <c r="W26" i="2"/>
  <c r="W25" i="2"/>
  <c r="V26" i="2"/>
  <c r="V25" i="2"/>
  <c r="U26" i="2"/>
  <c r="U25" i="2"/>
  <c r="T26" i="2"/>
  <c r="T25" i="2"/>
  <c r="W24" i="2"/>
  <c r="V24" i="2"/>
  <c r="U24" i="2"/>
  <c r="T24" i="2"/>
  <c r="U23" i="2"/>
  <c r="V23" i="2"/>
  <c r="W23" i="2"/>
  <c r="T23" i="2"/>
  <c r="W22" i="2"/>
  <c r="V22" i="2"/>
  <c r="U22" i="2"/>
  <c r="T22" i="2"/>
  <c r="T16" i="2"/>
  <c r="U16" i="2"/>
  <c r="V16" i="2"/>
  <c r="W16" i="2"/>
  <c r="W15" i="2"/>
  <c r="V15" i="2"/>
  <c r="U15" i="2"/>
  <c r="T15" i="2"/>
  <c r="O27" i="2"/>
  <c r="N27" i="2"/>
  <c r="M27" i="2"/>
  <c r="L27" i="2"/>
  <c r="G27" i="2"/>
  <c r="F27" i="2"/>
  <c r="E27" i="2"/>
  <c r="D27" i="2"/>
  <c r="I55" i="2"/>
  <c r="A55" i="2"/>
  <c r="J56" i="2"/>
  <c r="J55" i="2"/>
  <c r="J54" i="2"/>
  <c r="J53" i="2"/>
  <c r="J52" i="2"/>
  <c r="J51" i="2"/>
  <c r="B56" i="2"/>
  <c r="B55" i="2"/>
  <c r="B54" i="2"/>
  <c r="B53" i="2"/>
  <c r="B52" i="2"/>
  <c r="B51" i="2"/>
  <c r="O26" i="2"/>
  <c r="N26" i="2"/>
  <c r="M26" i="2"/>
  <c r="L26" i="2"/>
  <c r="G26" i="2"/>
  <c r="F26" i="2"/>
  <c r="E26" i="2"/>
  <c r="D26" i="2"/>
  <c r="O25" i="2"/>
  <c r="N25" i="2"/>
  <c r="M25" i="2"/>
  <c r="L25" i="2"/>
  <c r="F25" i="2"/>
  <c r="G25" i="2"/>
  <c r="E25" i="2"/>
  <c r="D25" i="2"/>
  <c r="G16" i="2"/>
  <c r="G17" i="2"/>
  <c r="F16" i="2"/>
  <c r="F17" i="2"/>
  <c r="E16" i="2"/>
  <c r="E17" i="2"/>
  <c r="G15" i="2"/>
  <c r="F15" i="2"/>
  <c r="E15" i="2"/>
  <c r="D16" i="2"/>
  <c r="D17" i="2"/>
  <c r="D15" i="2"/>
  <c r="O16" i="2"/>
  <c r="O17" i="2"/>
  <c r="O15" i="2"/>
  <c r="N16" i="2"/>
  <c r="N17" i="2"/>
  <c r="N15" i="2"/>
  <c r="M16" i="2"/>
  <c r="M17" i="2"/>
  <c r="M15" i="2"/>
  <c r="L16" i="2"/>
  <c r="L17" i="2"/>
  <c r="L15" i="2"/>
  <c r="L22" i="2"/>
  <c r="L24" i="2"/>
  <c r="L40" i="2"/>
  <c r="L23" i="2"/>
  <c r="L36" i="2"/>
  <c r="L37" i="2"/>
  <c r="L38" i="2"/>
  <c r="L39" i="2"/>
  <c r="L41" i="2"/>
  <c r="M22" i="2"/>
  <c r="M24" i="2"/>
  <c r="M40" i="2"/>
  <c r="M23" i="2"/>
  <c r="M36" i="2"/>
  <c r="M37" i="2"/>
  <c r="M38" i="2"/>
  <c r="M39" i="2"/>
  <c r="M41" i="2"/>
  <c r="N22" i="2"/>
  <c r="N24" i="2"/>
  <c r="N40" i="2"/>
  <c r="N23" i="2"/>
  <c r="N36" i="2"/>
  <c r="N37" i="2"/>
  <c r="N38" i="2"/>
  <c r="N39" i="2"/>
  <c r="N41" i="2"/>
  <c r="O22" i="2"/>
  <c r="O24" i="2"/>
  <c r="O40" i="2"/>
  <c r="O23" i="2"/>
  <c r="O36" i="2"/>
  <c r="O37" i="2"/>
  <c r="O38" i="2"/>
  <c r="O39" i="2"/>
  <c r="O41" i="2"/>
  <c r="D24" i="2"/>
  <c r="D22" i="2"/>
  <c r="E24" i="2"/>
  <c r="E22" i="2"/>
  <c r="E23" i="2"/>
  <c r="F24" i="2"/>
  <c r="F22" i="2"/>
  <c r="F23" i="2"/>
  <c r="G24" i="2"/>
  <c r="G22" i="2"/>
  <c r="G23" i="2"/>
  <c r="K59" i="2"/>
  <c r="N31" i="2" l="1"/>
  <c r="N32" i="2" s="1"/>
  <c r="E31" i="2"/>
  <c r="O31" i="2"/>
  <c r="O32" i="2" s="1"/>
  <c r="F31" i="2"/>
  <c r="M31" i="2"/>
  <c r="M32" i="2" s="1"/>
  <c r="T31" i="2"/>
  <c r="T32" i="2" s="1"/>
  <c r="L31" i="2"/>
  <c r="L32" i="2" s="1"/>
  <c r="U31" i="2"/>
  <c r="U32" i="2" s="1"/>
  <c r="V31" i="2"/>
  <c r="V32" i="2" s="1"/>
  <c r="G31" i="2"/>
  <c r="W31" i="2"/>
  <c r="W32" i="2" s="1"/>
  <c r="D31" i="2"/>
  <c r="F19" i="2"/>
  <c r="F20" i="2" s="1"/>
  <c r="V19" i="2"/>
  <c r="V20" i="2" s="1"/>
  <c r="D19" i="2"/>
  <c r="D20" i="2" s="1"/>
  <c r="L19" i="2"/>
  <c r="L20" i="2" s="1"/>
  <c r="O19" i="2"/>
  <c r="O20" i="2" s="1"/>
  <c r="G19" i="2"/>
  <c r="G20" i="2" s="1"/>
  <c r="W19" i="2"/>
  <c r="W20" i="2" s="1"/>
  <c r="W42" i="2"/>
  <c r="W43" i="2" s="1"/>
  <c r="N19" i="2"/>
  <c r="N20" i="2" s="1"/>
  <c r="T19" i="2"/>
  <c r="T20" i="2" s="1"/>
  <c r="M19" i="2"/>
  <c r="M20" i="2" s="1"/>
  <c r="E19" i="2"/>
  <c r="E20" i="2" s="1"/>
  <c r="U19" i="2"/>
  <c r="U20" i="2" s="1"/>
  <c r="N42" i="2"/>
  <c r="M42" i="2"/>
  <c r="O42" i="2"/>
  <c r="V42" i="2"/>
  <c r="T42" i="2"/>
  <c r="L42" i="2"/>
  <c r="U42" i="2"/>
  <c r="R10" i="4"/>
  <c r="R8" i="4"/>
  <c r="R9" i="4"/>
  <c r="T45" i="2" l="1"/>
  <c r="U45" i="2"/>
  <c r="V45" i="2"/>
  <c r="V46" i="2" s="1"/>
  <c r="W45" i="2"/>
  <c r="W46" i="2" s="1"/>
  <c r="U43" i="2"/>
  <c r="O43" i="2"/>
  <c r="O45" i="2"/>
  <c r="O46" i="2" s="1"/>
  <c r="E32" i="2"/>
  <c r="E45" i="2"/>
  <c r="E46" i="2" s="1"/>
  <c r="L45" i="2"/>
  <c r="L43" i="2"/>
  <c r="V43" i="2"/>
  <c r="F32" i="2"/>
  <c r="F45" i="2"/>
  <c r="G32" i="2"/>
  <c r="G45" i="2"/>
  <c r="T43" i="2"/>
  <c r="M45" i="2"/>
  <c r="M43" i="2"/>
  <c r="D32" i="2"/>
  <c r="D45" i="2"/>
  <c r="D46" i="2" s="1"/>
  <c r="N43" i="2"/>
  <c r="N45" i="2"/>
  <c r="N46" i="2" s="1"/>
  <c r="K54" i="2" l="1"/>
  <c r="C51" i="2"/>
  <c r="S53" i="2"/>
  <c r="G46" i="2"/>
  <c r="C54" i="2"/>
  <c r="S54" i="2"/>
  <c r="C52" i="2"/>
  <c r="M46" i="2"/>
  <c r="K52" i="2"/>
  <c r="U46" i="2"/>
  <c r="S52" i="2"/>
  <c r="C55" i="2"/>
  <c r="K53" i="2"/>
  <c r="L46" i="2"/>
  <c r="K51" i="2"/>
  <c r="K55" i="2"/>
  <c r="T46" i="2"/>
  <c r="S51" i="2"/>
  <c r="F46" i="2"/>
  <c r="C53" i="2"/>
  <c r="L48" i="2" l="1"/>
  <c r="K56" i="2" s="1"/>
  <c r="K6" i="2" s="1"/>
  <c r="D48" i="2"/>
  <c r="C56" i="2" s="1"/>
  <c r="C6" i="2" s="1"/>
  <c r="T48" i="2"/>
  <c r="S56" i="2" s="1"/>
  <c r="S6" i="2" s="1"/>
</calcChain>
</file>

<file path=xl/sharedStrings.xml><?xml version="1.0" encoding="utf-8"?>
<sst xmlns="http://schemas.openxmlformats.org/spreadsheetml/2006/main" count="235" uniqueCount="111">
  <si>
    <t>Power Supply Info</t>
  </si>
  <si>
    <t>Current Ratings</t>
  </si>
  <si>
    <t>Config Card</t>
  </si>
  <si>
    <t>MVX</t>
  </si>
  <si>
    <t>Fibre Front</t>
  </si>
  <si>
    <t>Config Rear</t>
  </si>
  <si>
    <t>3.3V/A</t>
  </si>
  <si>
    <t>5V/A</t>
  </si>
  <si>
    <t>12V/A</t>
  </si>
  <si>
    <t xml:space="preserve"> -12V/A</t>
  </si>
  <si>
    <t>E-Que Max</t>
  </si>
  <si>
    <t>25(40 Max)</t>
  </si>
  <si>
    <t>7(10 Max)</t>
  </si>
  <si>
    <t>1(2 Max)</t>
  </si>
  <si>
    <t>Median (300W)</t>
  </si>
  <si>
    <t>Omega (200W, 3.3V &amp; 5V not to exceed 175W)</t>
  </si>
  <si>
    <t>N/A</t>
  </si>
  <si>
    <t>Total Rail Power / Watts</t>
  </si>
  <si>
    <t>Total Rail Current / Amps</t>
  </si>
  <si>
    <t>Total System Power / Watts</t>
  </si>
  <si>
    <t>Fibre Rear</t>
  </si>
  <si>
    <t>CCI-22</t>
  </si>
  <si>
    <t>FOR-22</t>
  </si>
  <si>
    <t>GPI-6</t>
  </si>
  <si>
    <t>RLY-6</t>
  </si>
  <si>
    <t>TEL-14</t>
  </si>
  <si>
    <t>AES-6</t>
  </si>
  <si>
    <t>System Result</t>
  </si>
  <si>
    <t>3.3V Current</t>
  </si>
  <si>
    <t>5V Current</t>
  </si>
  <si>
    <t>12V Current</t>
  </si>
  <si>
    <t xml:space="preserve"> -12V Current</t>
  </si>
  <si>
    <t>Total Power</t>
  </si>
  <si>
    <t>7 Max</t>
  </si>
  <si>
    <t>8 Max</t>
  </si>
  <si>
    <t>System Cards</t>
  </si>
  <si>
    <t>15 Max</t>
  </si>
  <si>
    <t>Interface Modules</t>
  </si>
  <si>
    <t>Factory Fitted Cards</t>
  </si>
  <si>
    <t>4 Max</t>
  </si>
  <si>
    <t>PSU Option</t>
  </si>
  <si>
    <t>740101Z XP PSU Assembly</t>
  </si>
  <si>
    <t>740134Z Hitron PSU Assembly</t>
  </si>
  <si>
    <t>Omega</t>
  </si>
  <si>
    <t>Median</t>
  </si>
  <si>
    <t>E-MADI</t>
  </si>
  <si>
    <t>E-QUE</t>
  </si>
  <si>
    <t>Tel-14</t>
  </si>
  <si>
    <t>AES</t>
  </si>
  <si>
    <t>3 Max</t>
  </si>
  <si>
    <t>Current</t>
  </si>
  <si>
    <t>Power</t>
  </si>
  <si>
    <t>6RU</t>
  </si>
  <si>
    <t>3RU</t>
  </si>
  <si>
    <t>4 x E-QUE</t>
  </si>
  <si>
    <t>3 T-14</t>
  </si>
  <si>
    <t>3 AES</t>
  </si>
  <si>
    <t>Highest</t>
  </si>
  <si>
    <t>4 x MVX</t>
  </si>
  <si>
    <t>Omega/Median Fantray</t>
  </si>
  <si>
    <t>Delta Fan Card</t>
  </si>
  <si>
    <t>Delta PSU Card</t>
  </si>
  <si>
    <t>6RU Interface</t>
  </si>
  <si>
    <t>3RU Interface</t>
  </si>
  <si>
    <t>Based On Current Card</t>
  </si>
  <si>
    <t>Highest x 10%</t>
  </si>
  <si>
    <t>Without PSU card</t>
  </si>
  <si>
    <t>Highest x 5%</t>
  </si>
  <si>
    <t>120W</t>
  </si>
  <si>
    <t>&lt;22A</t>
  </si>
  <si>
    <t>&lt; 150W</t>
  </si>
  <si>
    <t>&lt;1.5A</t>
  </si>
  <si>
    <t>&lt;4A</t>
  </si>
  <si>
    <t>&lt;5A</t>
  </si>
  <si>
    <t>MVX MK1</t>
  </si>
  <si>
    <t>MVX MK2</t>
  </si>
  <si>
    <t>720379Z Power-One PSU Assembly</t>
  </si>
  <si>
    <t>Eclipse HX System Card and Interface Power Calculator</t>
  </si>
  <si>
    <t>ECLIPSE-HX-OMEGA System</t>
  </si>
  <si>
    <t>ECLIPSE-HX-MEDIAN System</t>
  </si>
  <si>
    <t>ECLIPSE-HX-DELTA System</t>
  </si>
  <si>
    <t>Eclipse Processor Card</t>
  </si>
  <si>
    <t>Eclipse Processor Rear Card</t>
  </si>
  <si>
    <t>Eclipse Fan Assembly</t>
  </si>
  <si>
    <t>Eclipse Delta Fan Assembly</t>
  </si>
  <si>
    <t>Eclipse Delta PSU Card</t>
  </si>
  <si>
    <t>MVX-A16-HX</t>
  </si>
  <si>
    <t>E-FIB-HX</t>
  </si>
  <si>
    <t>E-Que-HX</t>
  </si>
  <si>
    <t>IVC-32-HX</t>
  </si>
  <si>
    <t>LMC-64-HX</t>
  </si>
  <si>
    <t>EMADI64-HX</t>
  </si>
  <si>
    <t>E-DANTE64</t>
  </si>
  <si>
    <t>E-DANTE64-HX</t>
  </si>
  <si>
    <t>Note: Non-HX versions of the cards have the same power load.</t>
  </si>
  <si>
    <t xml:space="preserve">Note: Fill in shaded cells to obtain result for required system. </t>
  </si>
  <si>
    <t>Total Current</t>
  </si>
  <si>
    <t>Voltage</t>
  </si>
  <si>
    <t>System OK?</t>
  </si>
  <si>
    <t>E-IPA-HX-XX  (All Ports Used)</t>
  </si>
  <si>
    <t>E-IPA-HX-XX  (No SFP Installed)</t>
  </si>
  <si>
    <t>E-IPA-HX-XX  Front</t>
  </si>
  <si>
    <t>E-IPA-HX-XX  Rear - All Ports Used</t>
  </si>
  <si>
    <t>E-IPA-HX-XX  Rear - No SFP Installed</t>
  </si>
  <si>
    <t>E-IPA-HX/E-Que-HX/IVC-32-HX/LMC-64-HX</t>
  </si>
  <si>
    <t>5 Max</t>
  </si>
  <si>
    <t>6 Max</t>
  </si>
  <si>
    <t>E-IPA-HX + E-Que-HX/IVC-32-HX/LMC-64-HX</t>
  </si>
  <si>
    <t>E-IPA-HX</t>
  </si>
  <si>
    <t>SOF-00068 Rev E</t>
  </si>
  <si>
    <t>v4.0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</si>
</sst>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color indexed="12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4"/>
      <color indexed="12"/>
      <name val="Tahoma"/>
      <family val="2"/>
    </font>
    <font>
      <b/>
      <sz val="14"/>
      <name val="Tahoma"/>
      <family val="2"/>
    </font>
    <font>
      <b/>
      <sz val="10"/>
      <color indexed="12"/>
      <name val="Tahoma"/>
      <family val="2"/>
    </font>
    <font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2" fontId="5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5" fillId="0" borderId="0" xfId="0" applyFont="1"/>
    <xf numFmtId="2" fontId="16" fillId="3" borderId="0" xfId="0" applyNumberFormat="1" applyFont="1" applyFill="1" applyAlignment="1">
      <alignment horizontal="left"/>
    </xf>
    <xf numFmtId="0" fontId="15" fillId="3" borderId="0" xfId="0" applyFont="1" applyFill="1"/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8" fillId="0" borderId="1" xfId="0" applyFont="1" applyBorder="1"/>
    <xf numFmtId="0" fontId="5" fillId="0" borderId="2" xfId="0" applyFont="1" applyBorder="1"/>
    <xf numFmtId="0" fontId="8" fillId="0" borderId="2" xfId="0" applyFont="1" applyBorder="1" applyAlignment="1">
      <alignment horizontal="center"/>
    </xf>
    <xf numFmtId="2" fontId="5" fillId="0" borderId="2" xfId="0" applyNumberFormat="1" applyFont="1" applyBorder="1"/>
    <xf numFmtId="0" fontId="5" fillId="0" borderId="3" xfId="0" applyFont="1" applyBorder="1" applyAlignment="1">
      <alignment horizontal="center"/>
    </xf>
    <xf numFmtId="0" fontId="8" fillId="0" borderId="4" xfId="0" applyFont="1" applyBorder="1"/>
    <xf numFmtId="0" fontId="5" fillId="0" borderId="5" xfId="0" applyFont="1" applyBorder="1" applyAlignment="1">
      <alignment horizontal="center"/>
    </xf>
    <xf numFmtId="0" fontId="7" fillId="0" borderId="4" xfId="0" applyFont="1" applyBorder="1"/>
    <xf numFmtId="0" fontId="10" fillId="0" borderId="5" xfId="0" applyFont="1" applyBorder="1" applyAlignment="1">
      <alignment wrapText="1"/>
    </xf>
    <xf numFmtId="0" fontId="9" fillId="0" borderId="4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5" fillId="2" borderId="0" xfId="0" applyFont="1" applyFill="1" applyAlignment="1" applyProtection="1">
      <alignment horizontal="center"/>
      <protection locked="0"/>
    </xf>
    <xf numFmtId="0" fontId="6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5" fillId="0" borderId="4" xfId="0" applyFont="1" applyBorder="1"/>
    <xf numFmtId="0" fontId="6" fillId="3" borderId="4" xfId="0" applyFont="1" applyFill="1" applyBorder="1"/>
    <xf numFmtId="0" fontId="6" fillId="3" borderId="0" xfId="0" applyFont="1" applyFill="1" applyAlignment="1">
      <alignment horizontal="center"/>
    </xf>
    <xf numFmtId="2" fontId="5" fillId="3" borderId="0" xfId="0" applyNumberFormat="1" applyFont="1" applyFill="1"/>
    <xf numFmtId="0" fontId="5" fillId="3" borderId="5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2" fontId="5" fillId="0" borderId="7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2" fontId="6" fillId="0" borderId="0" xfId="0" applyNumberFormat="1" applyFont="1" applyAlignment="1">
      <alignment horizontal="center"/>
    </xf>
    <xf numFmtId="0" fontId="5" fillId="3" borderId="5" xfId="0" applyFont="1" applyFill="1" applyBorder="1"/>
    <xf numFmtId="0" fontId="5" fillId="0" borderId="7" xfId="0" applyFont="1" applyBorder="1" applyAlignment="1">
      <alignment horizontal="center"/>
    </xf>
    <xf numFmtId="0" fontId="6" fillId="0" borderId="7" xfId="0" applyFont="1" applyBorder="1"/>
    <xf numFmtId="0" fontId="5" fillId="0" borderId="8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/>
    <xf numFmtId="0" fontId="10" fillId="0" borderId="4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0" fillId="0" borderId="5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24"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fmlaLink="'PSU Option Button - Ignore'!$A$2" lockText="1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Radio" firstButton="1" fmlaLink="'PSU Option Button - Ignore'!$B$2" lockText="1"/>
</file>

<file path=xl/ctrlProps/ctrlProp7.xml><?xml version="1.0" encoding="utf-8"?>
<formControlPr xmlns="http://schemas.microsoft.com/office/spreadsheetml/2009/9/main" objectType="Radio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</xdr:col>
          <xdr:colOff>609600</xdr:colOff>
          <xdr:row>13</xdr:row>
          <xdr:rowOff>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9</xdr:row>
          <xdr:rowOff>142875</xdr:rowOff>
        </xdr:from>
        <xdr:to>
          <xdr:col>1</xdr:col>
          <xdr:colOff>504825</xdr:colOff>
          <xdr:row>11</xdr:row>
          <xdr:rowOff>38100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9525</xdr:rowOff>
        </xdr:from>
        <xdr:to>
          <xdr:col>9</xdr:col>
          <xdr:colOff>609600</xdr:colOff>
          <xdr:row>13</xdr:row>
          <xdr:rowOff>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142875</xdr:rowOff>
        </xdr:from>
        <xdr:to>
          <xdr:col>1</xdr:col>
          <xdr:colOff>504825</xdr:colOff>
          <xdr:row>12</xdr:row>
          <xdr:rowOff>38100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0</xdr:rowOff>
        </xdr:from>
        <xdr:to>
          <xdr:col>9</xdr:col>
          <xdr:colOff>609600</xdr:colOff>
          <xdr:row>13</xdr:row>
          <xdr:rowOff>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142875</xdr:rowOff>
        </xdr:from>
        <xdr:to>
          <xdr:col>9</xdr:col>
          <xdr:colOff>504825</xdr:colOff>
          <xdr:row>11</xdr:row>
          <xdr:rowOff>38100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142875</xdr:rowOff>
        </xdr:from>
        <xdr:to>
          <xdr:col>9</xdr:col>
          <xdr:colOff>504825</xdr:colOff>
          <xdr:row>12</xdr:row>
          <xdr:rowOff>38100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0"/>
  <sheetViews>
    <sheetView tabSelected="1" zoomScaleNormal="100" workbookViewId="0">
      <selection activeCell="C23" sqref="C23"/>
    </sheetView>
  </sheetViews>
  <sheetFormatPr defaultColWidth="9.140625" defaultRowHeight="12.75" x14ac:dyDescent="0.2"/>
  <cols>
    <col min="1" max="1" width="49.7109375" style="3" customWidth="1"/>
    <col min="2" max="2" width="12" style="3" bestFit="1" customWidth="1"/>
    <col min="3" max="3" width="16.140625" style="3" customWidth="1"/>
    <col min="4" max="4" width="6.5703125" style="3" bestFit="1" customWidth="1"/>
    <col min="5" max="6" width="5.85546875" style="3" bestFit="1" customWidth="1"/>
    <col min="7" max="7" width="5.5703125" style="3" bestFit="1" customWidth="1"/>
    <col min="8" max="8" width="4.7109375" style="3" customWidth="1"/>
    <col min="9" max="9" width="51.42578125" style="3" customWidth="1"/>
    <col min="10" max="10" width="12" style="3" bestFit="1" customWidth="1"/>
    <col min="11" max="11" width="20.7109375" style="3" customWidth="1"/>
    <col min="12" max="12" width="6.5703125" style="3" bestFit="1" customWidth="1"/>
    <col min="13" max="13" width="5.85546875" style="3" bestFit="1" customWidth="1"/>
    <col min="14" max="14" width="5.5703125" style="3" bestFit="1" customWidth="1"/>
    <col min="15" max="15" width="5" style="3" bestFit="1" customWidth="1"/>
    <col min="16" max="16" width="5.140625" style="3" customWidth="1"/>
    <col min="17" max="17" width="38.85546875" style="3" bestFit="1" customWidth="1"/>
    <col min="18" max="18" width="8.7109375" style="3" bestFit="1" customWidth="1"/>
    <col min="19" max="19" width="17.28515625" style="3" customWidth="1"/>
    <col min="20" max="20" width="6.5703125" style="3" bestFit="1" customWidth="1"/>
    <col min="21" max="21" width="5.5703125" style="3" bestFit="1" customWidth="1"/>
    <col min="22" max="22" width="5.85546875" style="3" bestFit="1" customWidth="1"/>
    <col min="23" max="23" width="5" style="3" bestFit="1" customWidth="1"/>
    <col min="24" max="24" width="30.85546875" style="3" bestFit="1" customWidth="1"/>
    <col min="25" max="16384" width="9.140625" style="3"/>
  </cols>
  <sheetData>
    <row r="1" spans="1:24" ht="19.5" x14ac:dyDescent="0.25">
      <c r="A1" s="1" t="s">
        <v>77</v>
      </c>
      <c r="B1" s="2"/>
      <c r="N1" s="4"/>
      <c r="P1" s="5"/>
      <c r="Q1" s="5"/>
      <c r="R1" s="5"/>
      <c r="S1" s="5"/>
      <c r="T1" s="5"/>
    </row>
    <row r="2" spans="1:24" ht="18" x14ac:dyDescent="0.25">
      <c r="A2" s="8" t="s">
        <v>109</v>
      </c>
      <c r="B2" s="8" t="s">
        <v>110</v>
      </c>
      <c r="N2" s="4"/>
      <c r="P2" s="5"/>
      <c r="Q2" s="5"/>
      <c r="R2" s="5"/>
      <c r="S2" s="5"/>
      <c r="T2" s="5"/>
    </row>
    <row r="3" spans="1:24" x14ac:dyDescent="0.2">
      <c r="N3" s="4"/>
      <c r="O3" s="6"/>
      <c r="P3" s="6"/>
      <c r="Q3" s="6"/>
      <c r="R3" s="6"/>
      <c r="S3" s="6"/>
      <c r="T3" s="6"/>
      <c r="U3" s="4"/>
      <c r="V3" s="4"/>
    </row>
    <row r="4" spans="1:24" s="22" customFormat="1" ht="15" x14ac:dyDescent="0.2">
      <c r="A4" s="21" t="s">
        <v>95</v>
      </c>
      <c r="N4" s="21"/>
      <c r="O4" s="23"/>
      <c r="P4" s="23"/>
      <c r="Q4" s="23"/>
      <c r="R4" s="23"/>
      <c r="S4" s="23"/>
      <c r="T4" s="24"/>
    </row>
    <row r="5" spans="1:24" s="22" customFormat="1" ht="15.75" thickBot="1" x14ac:dyDescent="0.25">
      <c r="A5" s="21"/>
      <c r="N5" s="21"/>
      <c r="O5" s="23"/>
      <c r="P5" s="23"/>
      <c r="Q5" s="23"/>
      <c r="R5" s="23"/>
      <c r="S5" s="23"/>
      <c r="T5" s="24"/>
    </row>
    <row r="6" spans="1:24" ht="18" x14ac:dyDescent="0.25">
      <c r="A6" s="36" t="s">
        <v>98</v>
      </c>
      <c r="B6" s="37"/>
      <c r="C6" s="38" t="str">
        <f>IF(AND(C51="YES",C52="YES",C53="YES",C54="YES",C55="YES",C56="YES",C58&lt;16,C60&lt;6,C61&lt;7),"YES","NO")</f>
        <v>YES</v>
      </c>
      <c r="D6" s="39"/>
      <c r="E6" s="37"/>
      <c r="F6" s="37"/>
      <c r="G6" s="40"/>
      <c r="H6" s="5"/>
      <c r="I6" s="36" t="s">
        <v>98</v>
      </c>
      <c r="J6" s="63"/>
      <c r="K6" s="38" t="str">
        <f>IF(AND(K51="YES",K52="YES",K53="YES",K54="YES",K55="YES",K56="YES",K58&lt;8, K59&lt;9,K61&lt;5),"YES","NO")</f>
        <v>YES</v>
      </c>
      <c r="L6" s="63"/>
      <c r="M6" s="63"/>
      <c r="N6" s="63"/>
      <c r="O6" s="40"/>
      <c r="P6" s="5"/>
      <c r="Q6" s="36" t="s">
        <v>98</v>
      </c>
      <c r="R6" s="63"/>
      <c r="S6" s="38" t="str">
        <f>IF(AND(S51="YES",S52="YES",S53="YES",S54="YES",S56="YES",S58&lt;5, S59&lt;4),"YES","NO")</f>
        <v>YES</v>
      </c>
      <c r="T6" s="71"/>
      <c r="U6" s="37"/>
      <c r="V6" s="37"/>
      <c r="W6" s="72"/>
    </row>
    <row r="7" spans="1:24" ht="18" x14ac:dyDescent="0.25">
      <c r="A7" s="41"/>
      <c r="C7" s="14"/>
      <c r="D7" s="13"/>
      <c r="G7" s="42"/>
      <c r="H7" s="5"/>
      <c r="I7" s="64"/>
      <c r="J7" s="5"/>
      <c r="K7" s="14"/>
      <c r="L7" s="5"/>
      <c r="M7" s="5"/>
      <c r="N7" s="4"/>
      <c r="O7" s="47"/>
      <c r="P7" s="7"/>
      <c r="Q7" s="64"/>
      <c r="R7" s="5"/>
      <c r="S7" s="5"/>
      <c r="T7" s="7"/>
      <c r="W7" s="49"/>
    </row>
    <row r="8" spans="1:24" s="18" customFormat="1" ht="18" x14ac:dyDescent="0.25">
      <c r="A8" s="75" t="s">
        <v>78</v>
      </c>
      <c r="B8" s="76"/>
      <c r="C8" s="76"/>
      <c r="D8" s="76"/>
      <c r="E8" s="76"/>
      <c r="F8" s="76"/>
      <c r="G8" s="77"/>
      <c r="H8" s="19"/>
      <c r="I8" s="75" t="s">
        <v>79</v>
      </c>
      <c r="J8" s="76"/>
      <c r="K8" s="76"/>
      <c r="L8" s="76"/>
      <c r="M8" s="76"/>
      <c r="N8" s="76"/>
      <c r="O8" s="77"/>
      <c r="P8" s="20"/>
      <c r="Q8" s="75" t="s">
        <v>80</v>
      </c>
      <c r="R8" s="76"/>
      <c r="S8" s="76"/>
      <c r="T8" s="76"/>
      <c r="U8" s="76"/>
      <c r="V8" s="76"/>
      <c r="W8" s="77"/>
      <c r="X8" s="19"/>
    </row>
    <row r="9" spans="1:24" s="18" customFormat="1" ht="18" x14ac:dyDescent="0.25">
      <c r="A9" s="43"/>
      <c r="B9" s="9"/>
      <c r="C9" s="8"/>
      <c r="G9" s="44"/>
      <c r="H9" s="19"/>
      <c r="I9" s="65"/>
      <c r="K9" s="8"/>
      <c r="O9" s="44"/>
      <c r="P9" s="20"/>
      <c r="Q9" s="73"/>
      <c r="R9" s="20"/>
      <c r="S9" s="9"/>
      <c r="W9" s="44"/>
    </row>
    <row r="10" spans="1:24" s="18" customFormat="1" ht="13.5" customHeight="1" x14ac:dyDescent="0.25">
      <c r="A10" s="45" t="s">
        <v>40</v>
      </c>
      <c r="B10" s="9"/>
      <c r="C10" s="8"/>
      <c r="G10" s="44"/>
      <c r="H10" s="19"/>
      <c r="I10" s="45" t="s">
        <v>40</v>
      </c>
      <c r="J10" s="9"/>
      <c r="K10" s="8"/>
      <c r="O10" s="44"/>
      <c r="P10" s="20"/>
      <c r="Q10" s="45"/>
      <c r="R10" s="10"/>
      <c r="S10" s="9"/>
      <c r="W10" s="44"/>
    </row>
    <row r="11" spans="1:24" s="18" customFormat="1" ht="12.75" customHeight="1" x14ac:dyDescent="0.25">
      <c r="A11" s="46" t="s">
        <v>41</v>
      </c>
      <c r="B11" s="9"/>
      <c r="C11" s="4"/>
      <c r="G11" s="44"/>
      <c r="H11" s="19"/>
      <c r="I11" s="46" t="s">
        <v>42</v>
      </c>
      <c r="J11" s="9"/>
      <c r="K11" s="4"/>
      <c r="O11" s="44"/>
      <c r="P11" s="20"/>
      <c r="Q11" s="73"/>
      <c r="R11" s="20"/>
      <c r="S11" s="9"/>
      <c r="W11" s="44"/>
    </row>
    <row r="12" spans="1:24" s="18" customFormat="1" ht="12.75" customHeight="1" x14ac:dyDescent="0.25">
      <c r="A12" s="46" t="s">
        <v>76</v>
      </c>
      <c r="B12" s="9"/>
      <c r="C12" s="4"/>
      <c r="G12" s="44"/>
      <c r="H12" s="19"/>
      <c r="I12" s="46" t="s">
        <v>76</v>
      </c>
      <c r="J12" s="9"/>
      <c r="K12" s="4"/>
      <c r="O12" s="44"/>
      <c r="P12" s="20"/>
      <c r="Q12" s="73"/>
      <c r="R12" s="20"/>
      <c r="S12" s="9"/>
      <c r="W12" s="44"/>
    </row>
    <row r="13" spans="1:24" s="18" customFormat="1" ht="12.75" customHeight="1" x14ac:dyDescent="0.25">
      <c r="A13" s="43"/>
      <c r="B13" s="9"/>
      <c r="C13" s="8"/>
      <c r="D13" s="78" t="s">
        <v>97</v>
      </c>
      <c r="E13" s="79"/>
      <c r="F13" s="79"/>
      <c r="G13" s="80"/>
      <c r="H13" s="19"/>
      <c r="I13" s="65"/>
      <c r="J13" s="9"/>
      <c r="K13" s="8"/>
      <c r="L13" s="78" t="s">
        <v>97</v>
      </c>
      <c r="M13" s="79"/>
      <c r="N13" s="79"/>
      <c r="O13" s="80"/>
      <c r="P13" s="20"/>
      <c r="Q13" s="73"/>
      <c r="R13" s="20"/>
      <c r="S13" s="9"/>
      <c r="T13" s="78" t="s">
        <v>97</v>
      </c>
      <c r="U13" s="79"/>
      <c r="V13" s="79"/>
      <c r="W13" s="80"/>
    </row>
    <row r="14" spans="1:24" ht="12.75" customHeight="1" x14ac:dyDescent="0.25">
      <c r="A14" s="45" t="s">
        <v>38</v>
      </c>
      <c r="B14" s="9"/>
      <c r="D14" s="6">
        <v>3.3</v>
      </c>
      <c r="E14" s="6">
        <v>5</v>
      </c>
      <c r="F14" s="6">
        <v>12</v>
      </c>
      <c r="G14" s="47">
        <v>-12</v>
      </c>
      <c r="H14" s="6"/>
      <c r="I14" s="45" t="s">
        <v>38</v>
      </c>
      <c r="L14" s="6">
        <v>3.3</v>
      </c>
      <c r="M14" s="6">
        <v>5</v>
      </c>
      <c r="N14" s="6">
        <v>12</v>
      </c>
      <c r="O14" s="47">
        <v>-12</v>
      </c>
      <c r="P14" s="5"/>
      <c r="Q14" s="45" t="s">
        <v>38</v>
      </c>
      <c r="R14" s="10"/>
      <c r="T14" s="6">
        <v>3.3</v>
      </c>
      <c r="U14" s="6">
        <v>5</v>
      </c>
      <c r="V14" s="6">
        <v>12</v>
      </c>
      <c r="W14" s="47">
        <v>-12</v>
      </c>
    </row>
    <row r="15" spans="1:24" x14ac:dyDescent="0.2">
      <c r="A15" s="46" t="s">
        <v>81</v>
      </c>
      <c r="B15" s="4"/>
      <c r="C15" s="5">
        <v>2</v>
      </c>
      <c r="D15" s="11">
        <f>SUM(C15*Data!B9)</f>
        <v>4.82</v>
      </c>
      <c r="E15" s="11">
        <f>SUM(C15*Data!C9)</f>
        <v>3.7999999999999999E-2</v>
      </c>
      <c r="F15" s="11">
        <f>SUM(C15*Data!D9)</f>
        <v>0</v>
      </c>
      <c r="G15" s="48">
        <f>SUM(C15*Data!E9)</f>
        <v>0</v>
      </c>
      <c r="H15" s="11"/>
      <c r="I15" s="46" t="s">
        <v>81</v>
      </c>
      <c r="J15" s="5"/>
      <c r="K15" s="5">
        <v>2</v>
      </c>
      <c r="L15" s="11">
        <f>SUM(K15*Data!B9)</f>
        <v>4.82</v>
      </c>
      <c r="M15" s="11">
        <f>SUM(K15*Data!C9)</f>
        <v>3.7999999999999999E-2</v>
      </c>
      <c r="N15" s="11">
        <f>SUM(K15*Data!D9)</f>
        <v>0</v>
      </c>
      <c r="O15" s="48">
        <f>SUM(K15*Data!E9)</f>
        <v>0</v>
      </c>
      <c r="P15" s="5"/>
      <c r="Q15" s="46" t="s">
        <v>81</v>
      </c>
      <c r="R15" s="4"/>
      <c r="S15" s="5">
        <v>2</v>
      </c>
      <c r="T15" s="11">
        <f>SUM(S15*Data!B9)</f>
        <v>4.82</v>
      </c>
      <c r="U15" s="11">
        <f>SUM(S15*Data!C9)</f>
        <v>3.7999999999999999E-2</v>
      </c>
      <c r="V15" s="11">
        <f>SUM(S15*Data!D9)</f>
        <v>0</v>
      </c>
      <c r="W15" s="48">
        <f>SUM(S15*Data!E9)</f>
        <v>0</v>
      </c>
    </row>
    <row r="16" spans="1:24" x14ac:dyDescent="0.2">
      <c r="A16" s="46" t="s">
        <v>82</v>
      </c>
      <c r="B16" s="4"/>
      <c r="C16" s="5">
        <v>1</v>
      </c>
      <c r="D16" s="11">
        <f>SUM(C16*Data!B10)</f>
        <v>0.35</v>
      </c>
      <c r="E16" s="11">
        <f>SUM(C16*Data!C10)</f>
        <v>0.09</v>
      </c>
      <c r="F16" s="11">
        <f>SUM(C16*Data!D10)</f>
        <v>0</v>
      </c>
      <c r="G16" s="48">
        <f>SUM(C16*Data!E10)</f>
        <v>0</v>
      </c>
      <c r="H16" s="11"/>
      <c r="I16" s="46" t="s">
        <v>82</v>
      </c>
      <c r="J16" s="5"/>
      <c r="K16" s="5">
        <v>1</v>
      </c>
      <c r="L16" s="11">
        <f>SUM(K16*Data!B10)</f>
        <v>0.35</v>
      </c>
      <c r="M16" s="11">
        <f>SUM(K16*Data!C10)</f>
        <v>0.09</v>
      </c>
      <c r="N16" s="11">
        <f>SUM(K16*Data!D10)</f>
        <v>0</v>
      </c>
      <c r="O16" s="48">
        <f>SUM(K16*Data!E10)</f>
        <v>0</v>
      </c>
      <c r="P16" s="6"/>
      <c r="Q16" s="46" t="s">
        <v>82</v>
      </c>
      <c r="R16" s="4"/>
      <c r="S16" s="5">
        <v>1</v>
      </c>
      <c r="T16" s="11">
        <f>SUM(S16*Data!B10)</f>
        <v>0.35</v>
      </c>
      <c r="U16" s="11">
        <f>SUM(S16*Data!C10)</f>
        <v>0.09</v>
      </c>
      <c r="V16" s="11">
        <f>SUM(S16*Data!D10)</f>
        <v>0</v>
      </c>
      <c r="W16" s="48">
        <f>SUM(S16*Data!E10)</f>
        <v>0</v>
      </c>
    </row>
    <row r="17" spans="1:23" x14ac:dyDescent="0.2">
      <c r="A17" s="46" t="s">
        <v>83</v>
      </c>
      <c r="B17" s="4"/>
      <c r="C17" s="5">
        <v>1</v>
      </c>
      <c r="D17" s="11">
        <f>SUM(C17*Data!B11)</f>
        <v>1.4999999999999999E-2</v>
      </c>
      <c r="E17" s="11">
        <f>SUM(C17*Data!C11)</f>
        <v>0.04</v>
      </c>
      <c r="F17" s="11">
        <f>SUM(C17*Data!D11)</f>
        <v>0.35</v>
      </c>
      <c r="G17" s="48">
        <f>SUM(C17*Data!E11)</f>
        <v>0.01</v>
      </c>
      <c r="H17" s="11"/>
      <c r="I17" s="46" t="s">
        <v>83</v>
      </c>
      <c r="J17" s="5"/>
      <c r="K17" s="5">
        <v>1</v>
      </c>
      <c r="L17" s="11">
        <f>SUM(K17*Data!B11)</f>
        <v>1.4999999999999999E-2</v>
      </c>
      <c r="M17" s="11">
        <f>SUM(K17*Data!C11)</f>
        <v>0.04</v>
      </c>
      <c r="N17" s="11">
        <f>SUM(K17*Data!D11)</f>
        <v>0.35</v>
      </c>
      <c r="O17" s="48">
        <f>SUM(K17*Data!E11)</f>
        <v>0.01</v>
      </c>
      <c r="P17" s="5"/>
      <c r="Q17" s="46" t="s">
        <v>84</v>
      </c>
      <c r="R17" s="4"/>
      <c r="S17" s="5">
        <v>1</v>
      </c>
      <c r="T17" s="11">
        <f>SUM(S17*Data!B12)</f>
        <v>1</v>
      </c>
      <c r="U17" s="11">
        <f>SUM(S17*Data!C12)</f>
        <v>0.04</v>
      </c>
      <c r="V17" s="11">
        <f>SUM(S17*Data!D12)</f>
        <v>2.2000000000000002</v>
      </c>
      <c r="W17" s="48">
        <f>SUM(S17*Data!E12)</f>
        <v>0</v>
      </c>
    </row>
    <row r="18" spans="1:23" x14ac:dyDescent="0.2">
      <c r="A18" s="46"/>
      <c r="B18" s="4"/>
      <c r="C18" s="5"/>
      <c r="D18" s="11"/>
      <c r="E18" s="11"/>
      <c r="F18" s="11"/>
      <c r="G18" s="48"/>
      <c r="H18" s="11"/>
      <c r="I18" s="46"/>
      <c r="J18" s="5"/>
      <c r="K18" s="5"/>
      <c r="L18" s="11"/>
      <c r="M18" s="11"/>
      <c r="N18" s="11"/>
      <c r="O18" s="48"/>
      <c r="P18" s="5"/>
      <c r="Q18" s="46" t="s">
        <v>85</v>
      </c>
      <c r="R18" s="4"/>
      <c r="S18" s="5">
        <v>1</v>
      </c>
      <c r="T18" s="11">
        <f>SUM(S18*Data!B13)</f>
        <v>0</v>
      </c>
      <c r="U18" s="11">
        <f>SUM(S18*Data!C13)</f>
        <v>0</v>
      </c>
      <c r="V18" s="11">
        <f>SUM(S18*Data!D13)</f>
        <v>0</v>
      </c>
      <c r="W18" s="48">
        <f>SUM(S18*Data!E13)</f>
        <v>0</v>
      </c>
    </row>
    <row r="19" spans="1:23" x14ac:dyDescent="0.2">
      <c r="A19" s="46"/>
      <c r="B19" s="4"/>
      <c r="C19" s="5" t="s">
        <v>96</v>
      </c>
      <c r="D19" s="11">
        <f>SUM(D15:D18)</f>
        <v>5.1849999999999996</v>
      </c>
      <c r="E19" s="11">
        <f>SUM(E15:E18)</f>
        <v>0.16800000000000001</v>
      </c>
      <c r="F19" s="11">
        <f>SUM(F15:F18)</f>
        <v>0.35</v>
      </c>
      <c r="G19" s="48">
        <f>SUM(G15:G18)</f>
        <v>0.01</v>
      </c>
      <c r="H19" s="11"/>
      <c r="I19" s="46"/>
      <c r="J19" s="5"/>
      <c r="K19" s="5" t="s">
        <v>96</v>
      </c>
      <c r="L19" s="11">
        <f>SUM(L15:L18)</f>
        <v>5.1849999999999996</v>
      </c>
      <c r="M19" s="11">
        <f>SUM(M15:M18)</f>
        <v>0.16800000000000001</v>
      </c>
      <c r="N19" s="11">
        <f>SUM(N15:N18)</f>
        <v>0.35</v>
      </c>
      <c r="O19" s="48">
        <f>SUM(O15:O18)</f>
        <v>0.01</v>
      </c>
      <c r="P19" s="5"/>
      <c r="Q19" s="53"/>
      <c r="S19" s="5" t="s">
        <v>96</v>
      </c>
      <c r="T19" s="11">
        <f>SUM(T15:T18)</f>
        <v>6.17</v>
      </c>
      <c r="U19" s="11">
        <f>SUM(U15:U18)</f>
        <v>0.16800000000000001</v>
      </c>
      <c r="V19" s="11">
        <f>SUM(V15:V18)</f>
        <v>2.2000000000000002</v>
      </c>
      <c r="W19" s="48">
        <f>SUM(W15:W18)</f>
        <v>0</v>
      </c>
    </row>
    <row r="20" spans="1:23" x14ac:dyDescent="0.2">
      <c r="A20" s="46"/>
      <c r="B20" s="4"/>
      <c r="C20" s="5" t="s">
        <v>32</v>
      </c>
      <c r="D20" s="11">
        <f>D19*3.3</f>
        <v>17.110499999999998</v>
      </c>
      <c r="E20" s="11">
        <f>E19*5</f>
        <v>0.84000000000000008</v>
      </c>
      <c r="F20" s="11">
        <f>F19*12</f>
        <v>4.1999999999999993</v>
      </c>
      <c r="G20" s="48">
        <f>G19*12</f>
        <v>0.12</v>
      </c>
      <c r="H20" s="11"/>
      <c r="I20" s="46"/>
      <c r="J20" s="5"/>
      <c r="K20" s="5" t="s">
        <v>32</v>
      </c>
      <c r="L20" s="11">
        <f>L19*3.3</f>
        <v>17.110499999999998</v>
      </c>
      <c r="M20" s="11">
        <f>M19*5</f>
        <v>0.84000000000000008</v>
      </c>
      <c r="N20" s="11">
        <f>N19*12</f>
        <v>4.1999999999999993</v>
      </c>
      <c r="O20" s="48">
        <f>O19*12</f>
        <v>0.12</v>
      </c>
      <c r="P20" s="5"/>
      <c r="Q20" s="46"/>
      <c r="R20" s="4"/>
      <c r="S20" s="5" t="s">
        <v>32</v>
      </c>
      <c r="T20" s="11">
        <f>T19*3.3</f>
        <v>20.360999999999997</v>
      </c>
      <c r="U20" s="11">
        <f>U19*5</f>
        <v>0.84000000000000008</v>
      </c>
      <c r="V20" s="11">
        <f>V19*12</f>
        <v>26.400000000000002</v>
      </c>
      <c r="W20" s="48">
        <f>W19*12</f>
        <v>0</v>
      </c>
    </row>
    <row r="21" spans="1:23" x14ac:dyDescent="0.2">
      <c r="A21" s="45" t="s">
        <v>35</v>
      </c>
      <c r="B21" s="4"/>
      <c r="C21" s="5"/>
      <c r="D21" s="11"/>
      <c r="G21" s="49"/>
      <c r="I21" s="45" t="s">
        <v>35</v>
      </c>
      <c r="J21" s="5"/>
      <c r="K21" s="5"/>
      <c r="L21" s="11"/>
      <c r="O21" s="49"/>
      <c r="P21" s="5"/>
      <c r="Q21" s="45" t="s">
        <v>35</v>
      </c>
      <c r="R21" s="10"/>
      <c r="S21" s="5"/>
      <c r="T21" s="11"/>
      <c r="U21" s="11"/>
      <c r="V21" s="11"/>
      <c r="W21" s="48"/>
    </row>
    <row r="22" spans="1:23" x14ac:dyDescent="0.2">
      <c r="A22" s="46" t="s">
        <v>86</v>
      </c>
      <c r="B22" s="4"/>
      <c r="C22" s="50">
        <v>0</v>
      </c>
      <c r="D22" s="11">
        <f>SUM(C22*Data!B16)</f>
        <v>0</v>
      </c>
      <c r="E22" s="11">
        <f>SUM(C22*Data!C16)</f>
        <v>0</v>
      </c>
      <c r="F22" s="11">
        <f>SUM(C22*Data!D16)</f>
        <v>0</v>
      </c>
      <c r="G22" s="48">
        <f>SUM(C22*Data!E16)</f>
        <v>0</v>
      </c>
      <c r="H22" s="11"/>
      <c r="I22" s="46" t="s">
        <v>86</v>
      </c>
      <c r="J22" s="5"/>
      <c r="K22" s="50">
        <v>0</v>
      </c>
      <c r="L22" s="11">
        <f>SUM(K22*Data!B16)</f>
        <v>0</v>
      </c>
      <c r="M22" s="11">
        <f>SUM(K22*Data!C16)</f>
        <v>0</v>
      </c>
      <c r="N22" s="11">
        <f>SUM(K22*Data!D16)</f>
        <v>0</v>
      </c>
      <c r="O22" s="48">
        <f>SUM(K22*Data!E16)</f>
        <v>0</v>
      </c>
      <c r="P22" s="5"/>
      <c r="Q22" s="46" t="s">
        <v>86</v>
      </c>
      <c r="R22" s="4"/>
      <c r="S22" s="50">
        <v>0</v>
      </c>
      <c r="T22" s="11">
        <f>SUM(S22*Data!B16)</f>
        <v>0</v>
      </c>
      <c r="U22" s="11">
        <f>SUM(S22*Data!C16)</f>
        <v>0</v>
      </c>
      <c r="V22" s="11">
        <f>SUM(S22*Data!D16)</f>
        <v>0</v>
      </c>
      <c r="W22" s="48">
        <f>SUM(S22*Data!E16)</f>
        <v>0</v>
      </c>
    </row>
    <row r="23" spans="1:23" x14ac:dyDescent="0.2">
      <c r="A23" s="46" t="s">
        <v>87</v>
      </c>
      <c r="B23" s="4"/>
      <c r="C23" s="50">
        <v>0</v>
      </c>
      <c r="D23" s="11">
        <f>SUM(C23*(Data!B17+Data!B18))</f>
        <v>0</v>
      </c>
      <c r="E23" s="11">
        <f>SUM(C23*(Data!C17+Data!C18))</f>
        <v>0</v>
      </c>
      <c r="F23" s="11">
        <f>SUM(C23*(Data!D17+Data!D18))</f>
        <v>0</v>
      </c>
      <c r="G23" s="48">
        <f>SUM(C23*(Data!E17+Data!E18))</f>
        <v>0</v>
      </c>
      <c r="H23" s="11"/>
      <c r="I23" s="46" t="s">
        <v>87</v>
      </c>
      <c r="J23" s="5"/>
      <c r="K23" s="50">
        <v>0</v>
      </c>
      <c r="L23" s="11">
        <f>SUM(K23*(Data!B17+Data!B18))</f>
        <v>0</v>
      </c>
      <c r="M23" s="11">
        <f>SUM(K23*(Data!C17+Data!C18))</f>
        <v>0</v>
      </c>
      <c r="N23" s="11">
        <f>SUM(K23*(Data!D17+Data!D18))</f>
        <v>0</v>
      </c>
      <c r="O23" s="48">
        <f>SUM(K23*(Data!E17+Data!E18))</f>
        <v>0</v>
      </c>
      <c r="P23" s="5"/>
      <c r="Q23" s="46" t="s">
        <v>87</v>
      </c>
      <c r="R23" s="4"/>
      <c r="S23" s="50">
        <v>0</v>
      </c>
      <c r="T23" s="11">
        <f>SUM(S23*(Data!B17+Data!B18))</f>
        <v>0</v>
      </c>
      <c r="U23" s="11">
        <f>SUM(S23*(Data!C17+Data!C18))</f>
        <v>0</v>
      </c>
      <c r="V23" s="11">
        <f>SUM(S23*(Data!D17+Data!D18))</f>
        <v>0</v>
      </c>
      <c r="W23" s="48">
        <f>SUM(S23*(Data!E17+Data!E18))</f>
        <v>0</v>
      </c>
    </row>
    <row r="24" spans="1:23" ht="12.75" customHeight="1" x14ac:dyDescent="0.2">
      <c r="A24" s="51" t="s">
        <v>88</v>
      </c>
      <c r="B24" s="12"/>
      <c r="C24" s="50">
        <v>0</v>
      </c>
      <c r="D24" s="11">
        <f>SUM(C24*Data!B19)</f>
        <v>0</v>
      </c>
      <c r="E24" s="11">
        <f>SUM(C24*Data!C19)</f>
        <v>0</v>
      </c>
      <c r="F24" s="11">
        <f>SUM(C24*Data!D19)</f>
        <v>0</v>
      </c>
      <c r="G24" s="48">
        <f>SUM(C24*Data!E19)</f>
        <v>0</v>
      </c>
      <c r="H24" s="11"/>
      <c r="I24" s="51" t="s">
        <v>88</v>
      </c>
      <c r="J24" s="5"/>
      <c r="K24" s="50">
        <v>0</v>
      </c>
      <c r="L24" s="11">
        <f>SUM(K24*Data!B19)</f>
        <v>0</v>
      </c>
      <c r="M24" s="11">
        <f>SUM(K24*Data!C19)</f>
        <v>0</v>
      </c>
      <c r="N24" s="11">
        <f>SUM(K24*Data!D19)</f>
        <v>0</v>
      </c>
      <c r="O24" s="48">
        <f>SUM(K24*Data!E19)</f>
        <v>0</v>
      </c>
      <c r="P24" s="5"/>
      <c r="Q24" s="51" t="s">
        <v>88</v>
      </c>
      <c r="R24" s="12"/>
      <c r="S24" s="50">
        <v>0</v>
      </c>
      <c r="T24" s="11">
        <f>SUM(S24*Data!B19)</f>
        <v>0</v>
      </c>
      <c r="U24" s="11">
        <f>SUM(S24*Data!C19)</f>
        <v>0</v>
      </c>
      <c r="V24" s="11">
        <f>SUM(S24*Data!D19)</f>
        <v>0</v>
      </c>
      <c r="W24" s="48">
        <f>SUM(S24*Data!E19)</f>
        <v>0</v>
      </c>
    </row>
    <row r="25" spans="1:23" x14ac:dyDescent="0.2">
      <c r="A25" s="51" t="s">
        <v>89</v>
      </c>
      <c r="B25" s="12"/>
      <c r="C25" s="50">
        <v>0</v>
      </c>
      <c r="D25" s="11">
        <f>SUM(C25*Data!B19)</f>
        <v>0</v>
      </c>
      <c r="E25" s="11">
        <f>SUM(C25*Data!C19)</f>
        <v>0</v>
      </c>
      <c r="F25" s="11">
        <f>SUM(C25*Data!D19)</f>
        <v>0</v>
      </c>
      <c r="G25" s="48">
        <f>SUM(C25*Data!E19)</f>
        <v>0</v>
      </c>
      <c r="H25" s="11"/>
      <c r="I25" s="51" t="s">
        <v>89</v>
      </c>
      <c r="J25" s="5"/>
      <c r="K25" s="50">
        <v>0</v>
      </c>
      <c r="L25" s="11">
        <f>SUM(K25*Data!B19)</f>
        <v>0</v>
      </c>
      <c r="M25" s="11">
        <f>SUM(K25*Data!C19)</f>
        <v>0</v>
      </c>
      <c r="N25" s="11">
        <f>SUM(K25*Data!D19)</f>
        <v>0</v>
      </c>
      <c r="O25" s="48">
        <f>SUM(K25*Data!E19)</f>
        <v>0</v>
      </c>
      <c r="P25" s="5"/>
      <c r="Q25" s="51" t="s">
        <v>89</v>
      </c>
      <c r="R25" s="12"/>
      <c r="S25" s="50">
        <v>0</v>
      </c>
      <c r="T25" s="11">
        <f>SUM(S25*Data!B19)</f>
        <v>0</v>
      </c>
      <c r="U25" s="11">
        <f>SUM(S25*Data!C19)</f>
        <v>0</v>
      </c>
      <c r="V25" s="11">
        <f>SUM(S25*Data!D19)</f>
        <v>0</v>
      </c>
      <c r="W25" s="48">
        <f>SUM(S25*Data!E19)</f>
        <v>0</v>
      </c>
    </row>
    <row r="26" spans="1:23" x14ac:dyDescent="0.2">
      <c r="A26" s="51" t="s">
        <v>90</v>
      </c>
      <c r="B26" s="12"/>
      <c r="C26" s="50">
        <v>0</v>
      </c>
      <c r="D26" s="11">
        <f>SUM(C26*Data!B19)</f>
        <v>0</v>
      </c>
      <c r="E26" s="11">
        <f>SUM(C26*Data!C19)</f>
        <v>0</v>
      </c>
      <c r="F26" s="11">
        <f>SUM(C26*Data!D19)</f>
        <v>0</v>
      </c>
      <c r="G26" s="48">
        <f>SUM(C26*Data!E19)</f>
        <v>0</v>
      </c>
      <c r="H26" s="11"/>
      <c r="I26" s="51" t="s">
        <v>90</v>
      </c>
      <c r="J26" s="5"/>
      <c r="K26" s="50">
        <v>0</v>
      </c>
      <c r="L26" s="11">
        <f>SUM(K26*Data!B19)</f>
        <v>0</v>
      </c>
      <c r="M26" s="11">
        <f>SUM(K26*Data!C19)</f>
        <v>0</v>
      </c>
      <c r="N26" s="11">
        <f>SUM(K26*Data!D19)</f>
        <v>0</v>
      </c>
      <c r="O26" s="48">
        <f>SUM(K26*Data!E19)</f>
        <v>0</v>
      </c>
      <c r="P26" s="5"/>
      <c r="Q26" s="51" t="s">
        <v>90</v>
      </c>
      <c r="R26" s="12"/>
      <c r="S26" s="50">
        <v>0</v>
      </c>
      <c r="T26" s="11">
        <f>SUM(S26*Data!B19)</f>
        <v>0</v>
      </c>
      <c r="U26" s="11">
        <f>SUM(S26*Data!C19)</f>
        <v>0</v>
      </c>
      <c r="V26" s="11">
        <f>SUM(S26*Data!D19)</f>
        <v>0</v>
      </c>
      <c r="W26" s="48">
        <f>SUM(S26*Data!E19)</f>
        <v>0</v>
      </c>
    </row>
    <row r="27" spans="1:23" x14ac:dyDescent="0.2">
      <c r="A27" s="51" t="s">
        <v>91</v>
      </c>
      <c r="B27" s="12"/>
      <c r="C27" s="50">
        <v>0</v>
      </c>
      <c r="D27" s="11">
        <f>SUM(C27*Data!B20)</f>
        <v>0</v>
      </c>
      <c r="E27" s="11">
        <f>SUM(C27*Data!C20)</f>
        <v>0</v>
      </c>
      <c r="F27" s="11">
        <f>SUM(C27*Data!D20)</f>
        <v>0</v>
      </c>
      <c r="G27" s="48">
        <f>SUM(C27*Data!E20)</f>
        <v>0</v>
      </c>
      <c r="H27" s="11"/>
      <c r="I27" s="51" t="s">
        <v>91</v>
      </c>
      <c r="J27" s="5"/>
      <c r="K27" s="50">
        <v>0</v>
      </c>
      <c r="L27" s="11">
        <f>SUM(K27*Data!B20)</f>
        <v>0</v>
      </c>
      <c r="M27" s="11">
        <f>SUM(K27*Data!C20)</f>
        <v>0</v>
      </c>
      <c r="N27" s="11">
        <f>SUM(K27*Data!D20)</f>
        <v>0</v>
      </c>
      <c r="O27" s="48">
        <f>SUM(K27*Data!E20)</f>
        <v>0</v>
      </c>
      <c r="P27" s="5"/>
      <c r="Q27" s="51" t="s">
        <v>91</v>
      </c>
      <c r="R27" s="12"/>
      <c r="S27" s="50">
        <v>0</v>
      </c>
      <c r="T27" s="11">
        <f>SUM(S27*Data!B20)</f>
        <v>0</v>
      </c>
      <c r="U27" s="11">
        <f>SUM(S27*Data!C20)</f>
        <v>0</v>
      </c>
      <c r="V27" s="11">
        <f>SUM(S27*Data!D20)</f>
        <v>0</v>
      </c>
      <c r="W27" s="48">
        <f>SUM(S27*Data!E20)</f>
        <v>0</v>
      </c>
    </row>
    <row r="28" spans="1:23" x14ac:dyDescent="0.2">
      <c r="A28" s="51" t="s">
        <v>93</v>
      </c>
      <c r="B28" s="12"/>
      <c r="C28" s="50">
        <v>0</v>
      </c>
      <c r="D28" s="11">
        <f>SUM(C28*Data!B21)</f>
        <v>0</v>
      </c>
      <c r="E28" s="11">
        <f>SUM(C28*Data!C21)</f>
        <v>0</v>
      </c>
      <c r="F28" s="11">
        <f>SUM(C28*Data!D21)</f>
        <v>0</v>
      </c>
      <c r="G28" s="48">
        <f>SUM(C28*Data!E21)</f>
        <v>0</v>
      </c>
      <c r="H28" s="11"/>
      <c r="I28" s="51" t="s">
        <v>93</v>
      </c>
      <c r="J28" s="5"/>
      <c r="K28" s="50">
        <v>0</v>
      </c>
      <c r="L28" s="11">
        <f>SUM(K28*Data!B21)</f>
        <v>0</v>
      </c>
      <c r="M28" s="11">
        <f>SUM(K28*Data!C21)</f>
        <v>0</v>
      </c>
      <c r="N28" s="11">
        <f>SUM(K28*Data!D21)</f>
        <v>0</v>
      </c>
      <c r="O28" s="48">
        <f>SUM(K28*Data!E21)</f>
        <v>0</v>
      </c>
      <c r="P28" s="5"/>
      <c r="Q28" s="51" t="s">
        <v>93</v>
      </c>
      <c r="R28" s="12"/>
      <c r="S28" s="50">
        <v>0</v>
      </c>
      <c r="T28" s="11">
        <f>SUM(S28*Data!B21)</f>
        <v>0</v>
      </c>
      <c r="U28" s="11">
        <f>SUM(S28*Data!C21)</f>
        <v>0</v>
      </c>
      <c r="V28" s="11">
        <f>SUM(S28*Data!D21)</f>
        <v>0</v>
      </c>
      <c r="W28" s="48">
        <f>SUM(S28*Data!E21)</f>
        <v>0</v>
      </c>
    </row>
    <row r="29" spans="1:23" x14ac:dyDescent="0.2">
      <c r="A29" s="51" t="s">
        <v>99</v>
      </c>
      <c r="B29" s="12"/>
      <c r="C29" s="50">
        <v>0</v>
      </c>
      <c r="D29" s="11">
        <f>SUM($C29*(Data!B22+Data!B23))</f>
        <v>0</v>
      </c>
      <c r="E29" s="11">
        <f>SUM($C29*(Data!C22+Data!C23))</f>
        <v>0</v>
      </c>
      <c r="F29" s="11">
        <f>SUM($C29*(Data!D22+Data!D23))</f>
        <v>0</v>
      </c>
      <c r="G29" s="48">
        <f>SUM($C29*(Data!E22+Data!E23))</f>
        <v>0</v>
      </c>
      <c r="H29" s="11"/>
      <c r="I29" s="51" t="s">
        <v>99</v>
      </c>
      <c r="J29" s="12"/>
      <c r="K29" s="50">
        <v>0</v>
      </c>
      <c r="L29" s="11">
        <f>SUM($K29*(Data!B22+Data!B23))</f>
        <v>0</v>
      </c>
      <c r="M29" s="11">
        <f>SUM($K29*(Data!C22+Data!C23))</f>
        <v>0</v>
      </c>
      <c r="N29" s="11">
        <f>SUM($K29*(Data!D22+Data!D23))</f>
        <v>0</v>
      </c>
      <c r="O29" s="48">
        <f>SUM($K29*(Data!E22+Data!E23))</f>
        <v>0</v>
      </c>
      <c r="P29" s="5"/>
      <c r="Q29" s="51" t="s">
        <v>99</v>
      </c>
      <c r="R29" s="12"/>
      <c r="S29" s="50">
        <v>0</v>
      </c>
      <c r="T29" s="11">
        <f>SUM($S29*(Data!B22+Data!B23))</f>
        <v>0</v>
      </c>
      <c r="U29" s="11">
        <f>SUM($S29*(Data!C22+Data!C23))</f>
        <v>0</v>
      </c>
      <c r="V29" s="11">
        <f>SUM($S29*(Data!D22+Data!D23))</f>
        <v>0</v>
      </c>
      <c r="W29" s="48">
        <f>SUM($S29*(Data!E22+Data!E23))</f>
        <v>0</v>
      </c>
    </row>
    <row r="30" spans="1:23" x14ac:dyDescent="0.2">
      <c r="A30" s="51" t="s">
        <v>100</v>
      </c>
      <c r="B30" s="12"/>
      <c r="C30" s="50">
        <v>0</v>
      </c>
      <c r="D30" s="11">
        <f>SUM($C30*(Data!B22+Data!B24))</f>
        <v>0</v>
      </c>
      <c r="E30" s="11">
        <f>SUM($C30*(Data!C22+Data!C24))</f>
        <v>0</v>
      </c>
      <c r="F30" s="11">
        <f>SUM($C30*(Data!D22+Data!D24))</f>
        <v>0</v>
      </c>
      <c r="G30" s="48">
        <f>SUM($C30*(Data!E22+Data!E24))</f>
        <v>0</v>
      </c>
      <c r="H30" s="11"/>
      <c r="I30" s="51" t="s">
        <v>100</v>
      </c>
      <c r="J30" s="5"/>
      <c r="K30" s="50">
        <v>0</v>
      </c>
      <c r="L30" s="11">
        <f>SUM($K30*(Data!B22+Data!B24))</f>
        <v>0</v>
      </c>
      <c r="M30" s="11">
        <f>SUM($K30*(Data!C22+Data!C24))</f>
        <v>0</v>
      </c>
      <c r="N30" s="11">
        <f>SUM($K30*(Data!D22+Data!D24))</f>
        <v>0</v>
      </c>
      <c r="O30" s="48">
        <f>SUM($K30*(Data!E22+Data!E24))</f>
        <v>0</v>
      </c>
      <c r="P30" s="5"/>
      <c r="Q30" s="51" t="s">
        <v>100</v>
      </c>
      <c r="R30" s="12"/>
      <c r="S30" s="50">
        <v>0</v>
      </c>
      <c r="T30" s="11">
        <f>SUM($S30*(Data!B22+Data!B24))</f>
        <v>0</v>
      </c>
      <c r="U30" s="11">
        <f>SUM($S30*(Data!C22+Data!C24))</f>
        <v>0</v>
      </c>
      <c r="V30" s="11">
        <f>SUM($S30*(Data!D22+Data!D24))</f>
        <v>0</v>
      </c>
      <c r="W30" s="48">
        <f>SUM($S30*(Data!E22+Data!E24))</f>
        <v>0</v>
      </c>
    </row>
    <row r="31" spans="1:23" x14ac:dyDescent="0.2">
      <c r="A31" s="51"/>
      <c r="B31" s="12"/>
      <c r="C31" s="5" t="s">
        <v>96</v>
      </c>
      <c r="D31" s="11">
        <f>SUM(D22:D30)</f>
        <v>0</v>
      </c>
      <c r="E31" s="11">
        <f>SUM(E22:E30)</f>
        <v>0</v>
      </c>
      <c r="F31" s="11">
        <f>SUM(F22:F30)</f>
        <v>0</v>
      </c>
      <c r="G31" s="48">
        <f>SUM(G22:G30)</f>
        <v>0</v>
      </c>
      <c r="H31" s="11"/>
      <c r="I31" s="51"/>
      <c r="J31" s="5"/>
      <c r="K31" s="5" t="s">
        <v>96</v>
      </c>
      <c r="L31" s="11">
        <f>SUM(L22:L30)</f>
        <v>0</v>
      </c>
      <c r="M31" s="11">
        <f>SUM(M22:M30)</f>
        <v>0</v>
      </c>
      <c r="N31" s="11">
        <f>SUM(N22:N30)</f>
        <v>0</v>
      </c>
      <c r="O31" s="48">
        <f>SUM(O22:O30)</f>
        <v>0</v>
      </c>
      <c r="P31" s="5"/>
      <c r="Q31" s="51"/>
      <c r="R31" s="12"/>
      <c r="S31" s="5" t="s">
        <v>96</v>
      </c>
      <c r="T31" s="11">
        <f>SUM(T22:T30)</f>
        <v>0</v>
      </c>
      <c r="U31" s="11">
        <f>SUM(U22:U30)</f>
        <v>0</v>
      </c>
      <c r="V31" s="11">
        <f>SUM(V22:V30)</f>
        <v>0</v>
      </c>
      <c r="W31" s="48">
        <f>SUM(W22:W30)</f>
        <v>0</v>
      </c>
    </row>
    <row r="32" spans="1:23" x14ac:dyDescent="0.2">
      <c r="A32" s="51"/>
      <c r="B32" s="12"/>
      <c r="C32" s="5" t="s">
        <v>32</v>
      </c>
      <c r="D32" s="11">
        <f>D31*D14</f>
        <v>0</v>
      </c>
      <c r="E32" s="11">
        <f>E31*E14</f>
        <v>0</v>
      </c>
      <c r="F32" s="11">
        <f>F31*F14</f>
        <v>0</v>
      </c>
      <c r="G32" s="48">
        <f>G31*ABS(G14)</f>
        <v>0</v>
      </c>
      <c r="H32" s="11"/>
      <c r="I32" s="51"/>
      <c r="J32" s="5"/>
      <c r="K32" s="5" t="s">
        <v>32</v>
      </c>
      <c r="L32" s="11">
        <f>L31*L14</f>
        <v>0</v>
      </c>
      <c r="M32" s="11">
        <f>M31*M14</f>
        <v>0</v>
      </c>
      <c r="N32" s="11">
        <f>N31*N14</f>
        <v>0</v>
      </c>
      <c r="O32" s="48">
        <f>O31*ABS(O14)</f>
        <v>0</v>
      </c>
      <c r="P32" s="5"/>
      <c r="Q32" s="51"/>
      <c r="R32" s="12"/>
      <c r="S32" s="5" t="s">
        <v>32</v>
      </c>
      <c r="T32" s="11">
        <f>T31*T14</f>
        <v>0</v>
      </c>
      <c r="U32" s="11">
        <f>U31*U14</f>
        <v>0</v>
      </c>
      <c r="V32" s="11">
        <f>V31*V14</f>
        <v>0</v>
      </c>
      <c r="W32" s="48">
        <f>W31*ABS(W14)</f>
        <v>0</v>
      </c>
    </row>
    <row r="33" spans="1:24" x14ac:dyDescent="0.2">
      <c r="A33" s="51"/>
      <c r="B33" s="12"/>
      <c r="C33" s="11"/>
      <c r="D33" s="11"/>
      <c r="E33" s="11"/>
      <c r="F33" s="11"/>
      <c r="G33" s="48"/>
      <c r="H33" s="11"/>
      <c r="I33" s="51"/>
      <c r="J33" s="5"/>
      <c r="K33" s="11"/>
      <c r="L33" s="11"/>
      <c r="M33" s="11"/>
      <c r="N33" s="11"/>
      <c r="O33" s="48"/>
      <c r="P33" s="5"/>
      <c r="Q33" s="51"/>
      <c r="R33" s="12"/>
      <c r="S33" s="11"/>
      <c r="T33" s="11"/>
      <c r="U33" s="11"/>
      <c r="V33" s="11"/>
      <c r="W33" s="48"/>
    </row>
    <row r="34" spans="1:24" x14ac:dyDescent="0.2">
      <c r="A34" s="51"/>
      <c r="B34" s="12"/>
      <c r="C34" s="11"/>
      <c r="D34" s="11"/>
      <c r="E34" s="11"/>
      <c r="F34" s="11"/>
      <c r="G34" s="48"/>
      <c r="H34" s="11"/>
      <c r="I34" s="51"/>
      <c r="J34" s="5"/>
      <c r="K34" s="11"/>
      <c r="L34" s="11"/>
      <c r="M34" s="11"/>
      <c r="N34" s="11"/>
      <c r="O34" s="48"/>
      <c r="P34" s="5"/>
      <c r="Q34" s="51"/>
      <c r="R34" s="12"/>
      <c r="S34" s="11"/>
      <c r="T34" s="11"/>
      <c r="U34" s="11"/>
      <c r="V34" s="11"/>
      <c r="W34" s="48"/>
    </row>
    <row r="35" spans="1:24" x14ac:dyDescent="0.2">
      <c r="A35" s="52"/>
      <c r="B35" s="12"/>
      <c r="C35" s="11"/>
      <c r="D35" s="11"/>
      <c r="E35" s="11"/>
      <c r="F35" s="11"/>
      <c r="G35" s="48"/>
      <c r="H35" s="11"/>
      <c r="I35" s="52" t="s">
        <v>37</v>
      </c>
      <c r="J35" s="5"/>
      <c r="K35" s="11"/>
      <c r="L35" s="11"/>
      <c r="M35" s="11"/>
      <c r="N35" s="11"/>
      <c r="O35" s="48"/>
      <c r="P35" s="5"/>
      <c r="Q35" s="52" t="s">
        <v>37</v>
      </c>
      <c r="R35" s="74"/>
      <c r="S35" s="11"/>
      <c r="T35" s="11"/>
      <c r="U35" s="11"/>
      <c r="V35" s="11"/>
      <c r="W35" s="48"/>
    </row>
    <row r="36" spans="1:24" x14ac:dyDescent="0.2">
      <c r="A36" s="51"/>
      <c r="B36" s="12"/>
      <c r="C36" s="5"/>
      <c r="D36" s="11"/>
      <c r="E36" s="11"/>
      <c r="F36" s="11"/>
      <c r="G36" s="48"/>
      <c r="H36" s="11"/>
      <c r="I36" s="51" t="s">
        <v>21</v>
      </c>
      <c r="J36" s="5"/>
      <c r="K36" s="50">
        <v>0</v>
      </c>
      <c r="L36" s="11">
        <f>SUM(K36*Data!B27)</f>
        <v>0</v>
      </c>
      <c r="M36" s="11">
        <f>SUM(K36*Data!C27)</f>
        <v>0</v>
      </c>
      <c r="N36" s="11">
        <f>SUM(K36*Data!D27)</f>
        <v>0</v>
      </c>
      <c r="O36" s="48">
        <f>SUM(K36*Data!E27)</f>
        <v>0</v>
      </c>
      <c r="P36" s="5"/>
      <c r="Q36" s="51" t="s">
        <v>21</v>
      </c>
      <c r="R36" s="12"/>
      <c r="S36" s="50">
        <v>0</v>
      </c>
      <c r="T36" s="11">
        <f>SUM(S36*Data!B27)</f>
        <v>0</v>
      </c>
      <c r="U36" s="11">
        <f>SUM(S36*Data!C27)</f>
        <v>0</v>
      </c>
      <c r="V36" s="11">
        <f>SUM(S36*Data!D27)</f>
        <v>0</v>
      </c>
      <c r="W36" s="48">
        <f>SUM(S36*Data!E27)</f>
        <v>0</v>
      </c>
    </row>
    <row r="37" spans="1:24" x14ac:dyDescent="0.2">
      <c r="A37" s="51"/>
      <c r="B37" s="12"/>
      <c r="C37" s="5"/>
      <c r="D37" s="11"/>
      <c r="E37" s="11"/>
      <c r="F37" s="11"/>
      <c r="G37" s="48"/>
      <c r="H37" s="11"/>
      <c r="I37" s="51" t="s">
        <v>22</v>
      </c>
      <c r="J37" s="5"/>
      <c r="K37" s="50">
        <v>0</v>
      </c>
      <c r="L37" s="11">
        <f>SUM(K37*Data!B28)</f>
        <v>0</v>
      </c>
      <c r="M37" s="11">
        <f>SUM(K37*Data!C28)</f>
        <v>0</v>
      </c>
      <c r="N37" s="11">
        <f>SUM(K37*Data!D28)</f>
        <v>0</v>
      </c>
      <c r="O37" s="48">
        <f>SUM(K37*Data!E28)</f>
        <v>0</v>
      </c>
      <c r="P37" s="5"/>
      <c r="Q37" s="51" t="s">
        <v>22</v>
      </c>
      <c r="R37" s="12"/>
      <c r="S37" s="50">
        <v>0</v>
      </c>
      <c r="T37" s="11">
        <f>SUM(S37*Data!B28)</f>
        <v>0</v>
      </c>
      <c r="U37" s="11">
        <f>SUM(S37*Data!C28)</f>
        <v>0</v>
      </c>
      <c r="V37" s="11">
        <f>SUM(S37*Data!D28)</f>
        <v>0</v>
      </c>
      <c r="W37" s="48">
        <f>SUM(S37*Data!E28)</f>
        <v>0</v>
      </c>
    </row>
    <row r="38" spans="1:24" x14ac:dyDescent="0.2">
      <c r="A38" s="51"/>
      <c r="B38" s="12"/>
      <c r="C38" s="5"/>
      <c r="D38" s="11"/>
      <c r="E38" s="11"/>
      <c r="F38" s="11"/>
      <c r="G38" s="48"/>
      <c r="H38" s="11"/>
      <c r="I38" s="51" t="s">
        <v>23</v>
      </c>
      <c r="J38" s="5"/>
      <c r="K38" s="50">
        <v>0</v>
      </c>
      <c r="L38" s="11">
        <f>SUM(K38*Data!B29)</f>
        <v>0</v>
      </c>
      <c r="M38" s="11">
        <f>SUM(K38*Data!C29)</f>
        <v>0</v>
      </c>
      <c r="N38" s="11">
        <f>SUM(K38*Data!D29)</f>
        <v>0</v>
      </c>
      <c r="O38" s="48">
        <f>SUM(K38*Data!E29)</f>
        <v>0</v>
      </c>
      <c r="P38" s="5"/>
      <c r="Q38" s="51" t="s">
        <v>23</v>
      </c>
      <c r="R38" s="12"/>
      <c r="S38" s="50">
        <v>0</v>
      </c>
      <c r="T38" s="11">
        <f>SUM(S38*Data!B29)</f>
        <v>0</v>
      </c>
      <c r="U38" s="11">
        <f>SUM(S38*Data!C29)</f>
        <v>0</v>
      </c>
      <c r="V38" s="11">
        <f>SUM(S38*Data!D29)</f>
        <v>0</v>
      </c>
      <c r="W38" s="48">
        <f>SUM(S38*Data!E29)</f>
        <v>0</v>
      </c>
    </row>
    <row r="39" spans="1:24" x14ac:dyDescent="0.2">
      <c r="A39" s="51"/>
      <c r="B39" s="12"/>
      <c r="C39" s="5"/>
      <c r="D39" s="11"/>
      <c r="E39" s="11"/>
      <c r="F39" s="11"/>
      <c r="G39" s="48"/>
      <c r="H39" s="11"/>
      <c r="I39" s="51" t="s">
        <v>24</v>
      </c>
      <c r="J39" s="5"/>
      <c r="K39" s="50">
        <v>0</v>
      </c>
      <c r="L39" s="11">
        <f>SUM(K39*Data!B30)</f>
        <v>0</v>
      </c>
      <c r="M39" s="11">
        <f>SUM(K39*Data!C30)</f>
        <v>0</v>
      </c>
      <c r="N39" s="11">
        <f>SUM(K39*Data!D30)</f>
        <v>0</v>
      </c>
      <c r="O39" s="48">
        <f>SUM(K39*Data!E30)</f>
        <v>0</v>
      </c>
      <c r="P39" s="5"/>
      <c r="Q39" s="51" t="s">
        <v>24</v>
      </c>
      <c r="R39" s="12"/>
      <c r="S39" s="50">
        <v>0</v>
      </c>
      <c r="T39" s="11">
        <f>SUM(S39*Data!B30)</f>
        <v>0</v>
      </c>
      <c r="U39" s="11">
        <f>SUM(S39*Data!C30)</f>
        <v>0</v>
      </c>
      <c r="V39" s="11">
        <f>SUM(S39*Data!D30)</f>
        <v>0</v>
      </c>
      <c r="W39" s="48">
        <f>SUM(S39*Data!E30)</f>
        <v>0</v>
      </c>
    </row>
    <row r="40" spans="1:24" x14ac:dyDescent="0.2">
      <c r="A40" s="51"/>
      <c r="B40" s="12"/>
      <c r="C40" s="5"/>
      <c r="D40" s="11"/>
      <c r="E40" s="11"/>
      <c r="F40" s="11"/>
      <c r="G40" s="48"/>
      <c r="H40" s="11"/>
      <c r="I40" s="51" t="s">
        <v>25</v>
      </c>
      <c r="J40" s="5"/>
      <c r="K40" s="50">
        <v>0</v>
      </c>
      <c r="L40" s="11">
        <f>SUM(K40*Data!B31)</f>
        <v>0</v>
      </c>
      <c r="M40" s="11">
        <f>SUM(K40*Data!C31)</f>
        <v>0</v>
      </c>
      <c r="N40" s="11">
        <f>SUM(K40*Data!D31)</f>
        <v>0</v>
      </c>
      <c r="O40" s="48">
        <f>SUM(K40*Data!E31)</f>
        <v>0</v>
      </c>
      <c r="P40" s="5"/>
      <c r="Q40" s="51" t="s">
        <v>25</v>
      </c>
      <c r="R40" s="12"/>
      <c r="S40" s="50">
        <v>0</v>
      </c>
      <c r="T40" s="11">
        <f>SUM(S40*Data!B31)</f>
        <v>0</v>
      </c>
      <c r="U40" s="11">
        <f>SUM(S40*Data!C31)</f>
        <v>0</v>
      </c>
      <c r="V40" s="11">
        <f>SUM(S40*Data!D31)</f>
        <v>0</v>
      </c>
      <c r="W40" s="48">
        <f>SUM(S40*Data!E31)</f>
        <v>0</v>
      </c>
    </row>
    <row r="41" spans="1:24" x14ac:dyDescent="0.2">
      <c r="A41" s="51"/>
      <c r="B41" s="12"/>
      <c r="C41" s="5"/>
      <c r="D41" s="11"/>
      <c r="E41" s="11"/>
      <c r="F41" s="11"/>
      <c r="G41" s="48"/>
      <c r="H41" s="11"/>
      <c r="I41" s="51" t="s">
        <v>26</v>
      </c>
      <c r="J41" s="5"/>
      <c r="K41" s="50">
        <v>0</v>
      </c>
      <c r="L41" s="11">
        <f>SUM(K41*Data!B32)</f>
        <v>0</v>
      </c>
      <c r="M41" s="11">
        <f>SUM(K41*Data!C32)</f>
        <v>0</v>
      </c>
      <c r="N41" s="11">
        <f>SUM(K41*Data!D32)</f>
        <v>0</v>
      </c>
      <c r="O41" s="48">
        <f>SUM(K41*Data!E32)</f>
        <v>0</v>
      </c>
      <c r="P41" s="5"/>
      <c r="Q41" s="51" t="s">
        <v>26</v>
      </c>
      <c r="R41" s="12"/>
      <c r="S41" s="50">
        <v>0</v>
      </c>
      <c r="T41" s="11">
        <f>SUM(S41*Data!B32)</f>
        <v>0</v>
      </c>
      <c r="U41" s="11">
        <f>SUM(S41*Data!C32)</f>
        <v>0</v>
      </c>
      <c r="V41" s="11">
        <f>SUM(S41*Data!D32)</f>
        <v>0</v>
      </c>
      <c r="W41" s="48">
        <f>SUM(S41*Data!E32)</f>
        <v>0</v>
      </c>
    </row>
    <row r="42" spans="1:24" x14ac:dyDescent="0.2">
      <c r="A42" s="51"/>
      <c r="B42" s="12"/>
      <c r="C42" s="5"/>
      <c r="D42" s="11"/>
      <c r="E42" s="11"/>
      <c r="F42" s="11"/>
      <c r="G42" s="48"/>
      <c r="H42" s="11"/>
      <c r="I42" s="51"/>
      <c r="J42" s="5"/>
      <c r="K42" s="5" t="s">
        <v>96</v>
      </c>
      <c r="L42" s="11">
        <f>SUM(L36:L41)</f>
        <v>0</v>
      </c>
      <c r="M42" s="11">
        <f t="shared" ref="M42:O42" si="0">SUM(M36:M41)</f>
        <v>0</v>
      </c>
      <c r="N42" s="11">
        <f t="shared" si="0"/>
        <v>0</v>
      </c>
      <c r="O42" s="48">
        <f t="shared" si="0"/>
        <v>0</v>
      </c>
      <c r="P42" s="5"/>
      <c r="Q42" s="51"/>
      <c r="R42" s="12"/>
      <c r="S42" s="5" t="s">
        <v>96</v>
      </c>
      <c r="T42" s="11">
        <f>SUM(T36:T41)</f>
        <v>0</v>
      </c>
      <c r="U42" s="11">
        <f t="shared" ref="U42" si="1">SUM(U36:U41)</f>
        <v>0</v>
      </c>
      <c r="V42" s="11">
        <f t="shared" ref="V42" si="2">SUM(V36:V41)</f>
        <v>0</v>
      </c>
      <c r="W42" s="48">
        <f t="shared" ref="W42" si="3">SUM(W36:W41)</f>
        <v>0</v>
      </c>
    </row>
    <row r="43" spans="1:24" x14ac:dyDescent="0.2">
      <c r="A43" s="51"/>
      <c r="B43" s="12"/>
      <c r="C43" s="5"/>
      <c r="D43" s="11"/>
      <c r="E43" s="11"/>
      <c r="F43" s="11"/>
      <c r="G43" s="48"/>
      <c r="H43" s="11"/>
      <c r="I43" s="51"/>
      <c r="J43" s="5"/>
      <c r="K43" s="5" t="s">
        <v>32</v>
      </c>
      <c r="L43" s="11">
        <f>L42*L14</f>
        <v>0</v>
      </c>
      <c r="M43" s="11">
        <f>M42*M14</f>
        <v>0</v>
      </c>
      <c r="N43" s="11">
        <f>N42*N14</f>
        <v>0</v>
      </c>
      <c r="O43" s="48">
        <f>O42*ABS(O14)</f>
        <v>0</v>
      </c>
      <c r="P43" s="5"/>
      <c r="Q43" s="51"/>
      <c r="R43" s="12"/>
      <c r="S43" s="5" t="s">
        <v>32</v>
      </c>
      <c r="T43" s="11">
        <f>T42*T14</f>
        <v>0</v>
      </c>
      <c r="U43" s="11">
        <f>U42*U14</f>
        <v>0</v>
      </c>
      <c r="V43" s="11">
        <f>V42*V14</f>
        <v>0</v>
      </c>
      <c r="W43" s="48">
        <f>W42*ABS(W14)</f>
        <v>0</v>
      </c>
    </row>
    <row r="44" spans="1:24" x14ac:dyDescent="0.2">
      <c r="A44" s="51"/>
      <c r="B44" s="12"/>
      <c r="C44" s="5"/>
      <c r="D44" s="11"/>
      <c r="E44" s="11"/>
      <c r="F44" s="11"/>
      <c r="G44" s="48"/>
      <c r="H44" s="11"/>
      <c r="I44" s="51"/>
      <c r="J44" s="5"/>
      <c r="K44" s="5"/>
      <c r="L44" s="11"/>
      <c r="M44" s="11"/>
      <c r="N44" s="11"/>
      <c r="O44" s="48"/>
      <c r="P44" s="5"/>
      <c r="Q44" s="51"/>
      <c r="R44" s="12"/>
      <c r="S44" s="5"/>
      <c r="T44" s="11"/>
      <c r="U44" s="11"/>
      <c r="V44" s="11"/>
      <c r="W44" s="48"/>
    </row>
    <row r="45" spans="1:24" x14ac:dyDescent="0.2">
      <c r="A45" s="51" t="s">
        <v>18</v>
      </c>
      <c r="B45" s="12"/>
      <c r="C45" s="5"/>
      <c r="D45" s="11">
        <f>D42+D31+D19</f>
        <v>5.1849999999999996</v>
      </c>
      <c r="E45" s="11">
        <f>E42+E31+E19</f>
        <v>0.16800000000000001</v>
      </c>
      <c r="F45" s="11">
        <f>F42+F31+F19</f>
        <v>0.35</v>
      </c>
      <c r="G45" s="48">
        <f>G42+G31+G19</f>
        <v>0.01</v>
      </c>
      <c r="H45" s="11"/>
      <c r="I45" s="51" t="s">
        <v>18</v>
      </c>
      <c r="J45" s="5"/>
      <c r="K45" s="5"/>
      <c r="L45" s="11">
        <f>L42+L31+L19</f>
        <v>5.1849999999999996</v>
      </c>
      <c r="M45" s="11">
        <f>M42+M31+M19</f>
        <v>0.16800000000000001</v>
      </c>
      <c r="N45" s="11">
        <f>N42+N31+N19</f>
        <v>0.35</v>
      </c>
      <c r="O45" s="48">
        <f>O42+O31+O19</f>
        <v>0.01</v>
      </c>
      <c r="P45" s="5"/>
      <c r="Q45" s="51" t="s">
        <v>18</v>
      </c>
      <c r="R45" s="12"/>
      <c r="S45" s="5"/>
      <c r="T45" s="11">
        <f>T42+T31+T19</f>
        <v>6.17</v>
      </c>
      <c r="U45" s="11">
        <f>U42+U31+U19</f>
        <v>0.16800000000000001</v>
      </c>
      <c r="V45" s="11">
        <f>V42+V31+V19</f>
        <v>2.2000000000000002</v>
      </c>
      <c r="W45" s="48">
        <f>W42+W31+W19</f>
        <v>0</v>
      </c>
      <c r="X45" s="12"/>
    </row>
    <row r="46" spans="1:24" x14ac:dyDescent="0.2">
      <c r="A46" s="51" t="s">
        <v>17</v>
      </c>
      <c r="B46" s="12"/>
      <c r="C46" s="5"/>
      <c r="D46" s="11">
        <f>D45*D14</f>
        <v>17.110499999999998</v>
      </c>
      <c r="E46" s="11">
        <f>E45*E14</f>
        <v>0.84000000000000008</v>
      </c>
      <c r="F46" s="11">
        <f>F45*F14</f>
        <v>4.1999999999999993</v>
      </c>
      <c r="G46" s="48">
        <f>G45*ABS(G14)</f>
        <v>0.12</v>
      </c>
      <c r="H46" s="11"/>
      <c r="I46" s="51" t="s">
        <v>17</v>
      </c>
      <c r="J46" s="5"/>
      <c r="K46" s="5"/>
      <c r="L46" s="11">
        <f>L45*L14</f>
        <v>17.110499999999998</v>
      </c>
      <c r="M46" s="11">
        <f>M45*M14</f>
        <v>0.84000000000000008</v>
      </c>
      <c r="N46" s="11">
        <f>N45*N14</f>
        <v>4.1999999999999993</v>
      </c>
      <c r="O46" s="48">
        <f>O45*ABS(O14)</f>
        <v>0.12</v>
      </c>
      <c r="P46" s="5"/>
      <c r="Q46" s="51" t="s">
        <v>17</v>
      </c>
      <c r="R46" s="12"/>
      <c r="S46" s="5"/>
      <c r="T46" s="11">
        <f>T45*T14</f>
        <v>20.360999999999997</v>
      </c>
      <c r="U46" s="11">
        <f>U45*U14</f>
        <v>0.84000000000000008</v>
      </c>
      <c r="V46" s="11">
        <f>V45*V14</f>
        <v>26.400000000000002</v>
      </c>
      <c r="W46" s="48">
        <f>W45*ABS(W14)</f>
        <v>0</v>
      </c>
      <c r="X46" s="12"/>
    </row>
    <row r="47" spans="1:24" x14ac:dyDescent="0.2">
      <c r="A47" s="51"/>
      <c r="B47" s="12"/>
      <c r="C47" s="5"/>
      <c r="D47" s="11"/>
      <c r="E47" s="11"/>
      <c r="F47" s="11"/>
      <c r="G47" s="48"/>
      <c r="H47" s="11"/>
      <c r="I47" s="51"/>
      <c r="J47" s="5"/>
      <c r="K47" s="5"/>
      <c r="L47" s="11"/>
      <c r="M47" s="11"/>
      <c r="N47" s="11"/>
      <c r="O47" s="48"/>
      <c r="P47" s="5"/>
      <c r="Q47" s="51"/>
      <c r="R47" s="12"/>
      <c r="S47" s="5"/>
      <c r="T47" s="11"/>
      <c r="U47" s="11"/>
      <c r="V47" s="11"/>
      <c r="W47" s="48"/>
      <c r="X47" s="12"/>
    </row>
    <row r="48" spans="1:24" x14ac:dyDescent="0.2">
      <c r="A48" s="51" t="s">
        <v>19</v>
      </c>
      <c r="B48" s="12"/>
      <c r="C48" s="5"/>
      <c r="D48" s="11">
        <f>SUM(D46:G46)</f>
        <v>22.270499999999998</v>
      </c>
      <c r="E48" s="11"/>
      <c r="F48" s="11"/>
      <c r="G48" s="48"/>
      <c r="H48" s="11"/>
      <c r="I48" s="51" t="s">
        <v>19</v>
      </c>
      <c r="J48" s="5"/>
      <c r="K48" s="5"/>
      <c r="L48" s="11">
        <f>SUM(L46:O46)</f>
        <v>22.270499999999998</v>
      </c>
      <c r="M48" s="11"/>
      <c r="N48" s="11"/>
      <c r="O48" s="48"/>
      <c r="P48" s="5"/>
      <c r="Q48" s="51" t="s">
        <v>19</v>
      </c>
      <c r="R48" s="12"/>
      <c r="S48" s="5"/>
      <c r="T48" s="11">
        <f>SUM(T46:W46)</f>
        <v>47.600999999999999</v>
      </c>
      <c r="U48" s="11"/>
      <c r="V48" s="11"/>
      <c r="W48" s="48"/>
      <c r="X48" s="12"/>
    </row>
    <row r="49" spans="1:23" x14ac:dyDescent="0.2">
      <c r="A49" s="53"/>
      <c r="C49" s="5"/>
      <c r="D49" s="13"/>
      <c r="G49" s="42"/>
      <c r="H49" s="5"/>
      <c r="I49" s="53"/>
      <c r="J49" s="5"/>
      <c r="K49" s="5"/>
      <c r="L49" s="5"/>
      <c r="M49" s="5"/>
      <c r="N49" s="4"/>
      <c r="O49" s="42"/>
      <c r="P49" s="5"/>
      <c r="Q49" s="64"/>
      <c r="R49" s="5"/>
      <c r="S49" s="5"/>
      <c r="T49" s="5"/>
      <c r="W49" s="49"/>
    </row>
    <row r="50" spans="1:23" ht="18" x14ac:dyDescent="0.25">
      <c r="A50" s="43" t="s">
        <v>27</v>
      </c>
      <c r="B50" s="4"/>
      <c r="C50" s="5"/>
      <c r="D50" s="13"/>
      <c r="G50" s="42"/>
      <c r="H50" s="5"/>
      <c r="I50" s="43" t="s">
        <v>27</v>
      </c>
      <c r="J50" s="5"/>
      <c r="K50" s="5"/>
      <c r="L50" s="5"/>
      <c r="M50" s="5"/>
      <c r="N50" s="4"/>
      <c r="O50" s="49"/>
      <c r="P50" s="5"/>
      <c r="Q50" s="43" t="s">
        <v>27</v>
      </c>
      <c r="R50" s="5"/>
      <c r="S50" s="5"/>
      <c r="T50" s="5"/>
      <c r="W50" s="49"/>
    </row>
    <row r="51" spans="1:23" x14ac:dyDescent="0.2">
      <c r="A51" s="46" t="s">
        <v>28</v>
      </c>
      <c r="B51" s="6" t="str">
        <f>IF('PSU Option Button - Ignore'!A2=1,"&lt; 35A","&lt; 40A")</f>
        <v>&lt; 40A</v>
      </c>
      <c r="C51" s="6" t="str">
        <f>IF('PSU Option Button - Ignore'!A2=1,IF(D45&lt;35,"YES","NO"),IF(D45&lt;40,"YES","NO"))</f>
        <v>YES</v>
      </c>
      <c r="D51" s="6"/>
      <c r="E51" s="6"/>
      <c r="F51" s="6"/>
      <c r="G51" s="42"/>
      <c r="H51" s="5"/>
      <c r="I51" s="46" t="s">
        <v>28</v>
      </c>
      <c r="J51" s="6" t="str">
        <f>IF('PSU Option Button - Ignore'!B2=1,"&lt; 27A","&lt; 40A")</f>
        <v>&lt; 40A</v>
      </c>
      <c r="K51" s="6" t="str">
        <f>IF('PSU Option Button - Ignore'!B2=1,IF(L45&lt;27,"YES","NO"),IF(L45&lt;40,"YES","NO"))</f>
        <v>YES</v>
      </c>
      <c r="L51" s="6"/>
      <c r="M51" s="6"/>
      <c r="N51" s="4"/>
      <c r="O51" s="49"/>
      <c r="P51" s="5"/>
      <c r="Q51" s="46" t="s">
        <v>28</v>
      </c>
      <c r="R51" s="6" t="s">
        <v>69</v>
      </c>
      <c r="S51" s="6" t="str">
        <f>IF(T45&lt;22,"YES","NO")</f>
        <v>YES</v>
      </c>
      <c r="T51" s="5"/>
      <c r="W51" s="49"/>
    </row>
    <row r="52" spans="1:23" x14ac:dyDescent="0.2">
      <c r="A52" s="46" t="s">
        <v>29</v>
      </c>
      <c r="B52" s="6" t="str">
        <f>IF('PSU Option Button - Ignore'!A2=1,"&lt; 25A","&lt; 40A")</f>
        <v>&lt; 40A</v>
      </c>
      <c r="C52" s="6" t="str">
        <f>IF('PSU Option Button - Ignore'!A2=1,IF(E45&lt;25,"YES","NO"),IF(E45&lt;40,"YES","NO"))</f>
        <v>YES</v>
      </c>
      <c r="D52" s="6"/>
      <c r="E52" s="6"/>
      <c r="F52" s="6"/>
      <c r="G52" s="42"/>
      <c r="H52" s="5"/>
      <c r="I52" s="46" t="s">
        <v>29</v>
      </c>
      <c r="J52" s="6" t="str">
        <f>IF('PSU Option Button - Ignore'!B2=1,"&lt; 27A","&lt; 40A")</f>
        <v>&lt; 40A</v>
      </c>
      <c r="K52" s="6" t="str">
        <f>IF('PSU Option Button - Ignore'!B2=1,IF(M45&lt;27,"YES","NO"),IF(M45&lt;40,"YES","NO"))</f>
        <v>YES</v>
      </c>
      <c r="L52" s="6"/>
      <c r="M52" s="6"/>
      <c r="N52" s="4"/>
      <c r="O52" s="49"/>
      <c r="P52" s="5"/>
      <c r="Q52" s="46" t="s">
        <v>29</v>
      </c>
      <c r="R52" s="6" t="s">
        <v>72</v>
      </c>
      <c r="S52" s="6" t="str">
        <f>IF(U45&lt;4,"YES","NO")</f>
        <v>YES</v>
      </c>
      <c r="T52" s="5"/>
      <c r="W52" s="49"/>
    </row>
    <row r="53" spans="1:23" x14ac:dyDescent="0.2">
      <c r="A53" s="46" t="s">
        <v>30</v>
      </c>
      <c r="B53" s="6" t="str">
        <f>IF('PSU Option Button - Ignore'!A2=1,"&lt; 8A","&lt; 5.5A")</f>
        <v>&lt; 5.5A</v>
      </c>
      <c r="C53" s="6" t="str">
        <f>IF('PSU Option Button - Ignore'!A2=1,IF(F45&lt;8,"YES","NO"),IF(F45&lt;5.5,"YES","NO"))</f>
        <v>YES</v>
      </c>
      <c r="D53" s="6"/>
      <c r="E53" s="6"/>
      <c r="F53" s="6"/>
      <c r="G53" s="42"/>
      <c r="H53" s="5"/>
      <c r="I53" s="46" t="s">
        <v>30</v>
      </c>
      <c r="J53" s="6" t="str">
        <f>IF('PSU Option Button - Ignore'!B2=1,"&lt; 7A","&lt; 5.5A")</f>
        <v>&lt; 5.5A</v>
      </c>
      <c r="K53" s="6" t="str">
        <f>IF('PSU Option Button - Ignore'!B2=1,IF(N45&lt;7,"YES","NO"),IF(N45&lt;5.5,"YES","NO"))</f>
        <v>YES</v>
      </c>
      <c r="L53" s="6"/>
      <c r="M53" s="6"/>
      <c r="N53" s="4"/>
      <c r="O53" s="49"/>
      <c r="P53" s="5"/>
      <c r="Q53" s="46" t="s">
        <v>30</v>
      </c>
      <c r="R53" s="6" t="s">
        <v>73</v>
      </c>
      <c r="S53" s="6" t="str">
        <f>IF(V45&lt;5,"YES","NO")</f>
        <v>YES</v>
      </c>
      <c r="T53" s="5"/>
      <c r="W53" s="49"/>
    </row>
    <row r="54" spans="1:23" x14ac:dyDescent="0.2">
      <c r="A54" s="46" t="s">
        <v>31</v>
      </c>
      <c r="B54" s="6" t="str">
        <f>IF('PSU Option Button - Ignore'!A2=1,"&lt; 1.5A","&lt; 2A")</f>
        <v>&lt; 2A</v>
      </c>
      <c r="C54" s="6" t="str">
        <f>IF('PSU Option Button - Ignore'!A2=1,IF(G45&lt;1.5,"YES","NO"),IF(G45&lt;2,"YES","NO"))</f>
        <v>YES</v>
      </c>
      <c r="D54" s="6"/>
      <c r="E54" s="6"/>
      <c r="F54" s="6"/>
      <c r="G54" s="42"/>
      <c r="H54" s="5"/>
      <c r="I54" s="46" t="s">
        <v>31</v>
      </c>
      <c r="J54" s="6" t="str">
        <f>IF('PSU Option Button - Ignore'!B2=1,"&lt; 2A","&lt; 2A")</f>
        <v>&lt; 2A</v>
      </c>
      <c r="K54" s="6" t="str">
        <f>IF('PSU Option Button - Ignore'!B2=1,IF(O45&lt;2,"YES","NO"),IF(O45&lt;2,"YES","NO"))</f>
        <v>YES</v>
      </c>
      <c r="L54" s="6"/>
      <c r="M54" s="6"/>
      <c r="N54" s="4"/>
      <c r="O54" s="49"/>
      <c r="P54" s="5"/>
      <c r="Q54" s="46" t="s">
        <v>31</v>
      </c>
      <c r="R54" s="6" t="s">
        <v>71</v>
      </c>
      <c r="S54" s="6" t="str">
        <f>IF(W45&lt;1.5,"YES","NO")</f>
        <v>YES</v>
      </c>
      <c r="T54" s="5"/>
      <c r="W54" s="49"/>
    </row>
    <row r="55" spans="1:23" ht="12.75" customHeight="1" x14ac:dyDescent="0.2">
      <c r="A55" s="46" t="str">
        <f>IF('PSU Option Button - Ignore'!A2=1,"5V &amp; 3.3V Combined Limit","12V Minimum Load")</f>
        <v>12V Minimum Load</v>
      </c>
      <c r="B55" s="6" t="str">
        <f>IF('PSU Option Button - Ignore'!A2=1,"&lt; 175W","&gt;75% -12V")</f>
        <v>&gt;75% -12V</v>
      </c>
      <c r="C55" s="6" t="str">
        <f>IF('PSU Option Button - Ignore'!A2=1,IF((D46+E46)&lt;175,"YES","NO"),IF(F45&gt;(G45*0.75),"YES","NO"))</f>
        <v>YES</v>
      </c>
      <c r="D55" s="6"/>
      <c r="E55" s="6"/>
      <c r="F55" s="6"/>
      <c r="G55" s="42"/>
      <c r="H55" s="5"/>
      <c r="I55" s="46" t="str">
        <f>IF('PSU Option Button - Ignore'!B2=1,"5V &amp; 3.3V Combined Limit","12V Minimum Load")</f>
        <v>12V Minimum Load</v>
      </c>
      <c r="J55" s="6" t="str">
        <f>IF('PSU Option Button - Ignore'!B2=1,"&lt; 45A","&gt;75% -12V")</f>
        <v>&gt;75% -12V</v>
      </c>
      <c r="K55" s="6" t="str">
        <f>IF('PSU Option Button - Ignore'!B2=1,IF((L45+M45)&lt;45,"YES","NO"),IF(N45&gt;(O45*0.75),"YES","NO"))</f>
        <v>YES</v>
      </c>
      <c r="L55" s="66"/>
      <c r="M55" s="6"/>
      <c r="N55" s="12"/>
      <c r="O55" s="42"/>
      <c r="P55" s="5"/>
      <c r="Q55" s="64"/>
      <c r="R55" s="5"/>
      <c r="S55" s="5"/>
      <c r="T55" s="5"/>
      <c r="W55" s="49"/>
    </row>
    <row r="56" spans="1:23" x14ac:dyDescent="0.2">
      <c r="A56" s="46" t="s">
        <v>32</v>
      </c>
      <c r="B56" s="6" t="str">
        <f>IF('PSU Option Button - Ignore'!A2=1,"&lt; 200W","&lt; 200W")</f>
        <v>&lt; 200W</v>
      </c>
      <c r="C56" s="6" t="str">
        <f>IF('PSU Option Button - Ignore'!A2=1,IF(D48&lt;200,"YES","NO"),IF(D48&lt;200,"YES","NO"))</f>
        <v>YES</v>
      </c>
      <c r="D56" s="6"/>
      <c r="E56" s="6"/>
      <c r="F56" s="6"/>
      <c r="G56" s="42"/>
      <c r="H56" s="5"/>
      <c r="I56" s="46" t="s">
        <v>32</v>
      </c>
      <c r="J56" s="6" t="str">
        <f>IF('PSU Option Button - Ignore'!B2=1,"&lt; 250W","&lt; 200W")</f>
        <v>&lt; 200W</v>
      </c>
      <c r="K56" s="6" t="str">
        <f>IF('PSU Option Button - Ignore'!B2=1,IF(L48&lt;250,"YES","NO"),IF(L48&lt;200,"YES","NO"))</f>
        <v>YES</v>
      </c>
      <c r="L56" s="6"/>
      <c r="M56" s="6"/>
      <c r="N56" s="4"/>
      <c r="O56" s="49"/>
      <c r="P56" s="5"/>
      <c r="Q56" s="46" t="s">
        <v>32</v>
      </c>
      <c r="R56" s="6" t="s">
        <v>70</v>
      </c>
      <c r="S56" s="6" t="str">
        <f>IF(T48&lt;150,"YES","NO")</f>
        <v>YES</v>
      </c>
      <c r="T56" s="5"/>
      <c r="W56" s="49"/>
    </row>
    <row r="57" spans="1:23" x14ac:dyDescent="0.2">
      <c r="A57" s="46"/>
      <c r="B57" s="6"/>
      <c r="C57" s="6"/>
      <c r="D57" s="13"/>
      <c r="G57" s="42"/>
      <c r="H57" s="5"/>
      <c r="I57" s="46"/>
      <c r="J57" s="6"/>
      <c r="K57" s="6"/>
      <c r="L57" s="5"/>
      <c r="M57" s="5"/>
      <c r="N57" s="4"/>
      <c r="O57" s="49"/>
      <c r="P57" s="5"/>
      <c r="Q57" s="64"/>
      <c r="R57" s="5"/>
      <c r="S57" s="5"/>
      <c r="T57" s="5"/>
      <c r="W57" s="49"/>
    </row>
    <row r="58" spans="1:23" x14ac:dyDescent="0.2">
      <c r="A58" s="54" t="s">
        <v>35</v>
      </c>
      <c r="B58" s="55" t="s">
        <v>36</v>
      </c>
      <c r="C58" s="55">
        <f>IF(C22+C23+C24+C25+C26+C27+C28+C29+C30&lt;16, C22+C23+C24+C25+C26+C27+C28+C29+C30, "More Than 15 Cards")</f>
        <v>0</v>
      </c>
      <c r="D58" s="56"/>
      <c r="E58" s="35"/>
      <c r="F58" s="35"/>
      <c r="G58" s="57"/>
      <c r="H58" s="33"/>
      <c r="I58" s="54" t="s">
        <v>35</v>
      </c>
      <c r="J58" s="55" t="s">
        <v>33</v>
      </c>
      <c r="K58" s="55">
        <f>IF(K22+K23+K24+K25+K26+K27+K28+K29+K30&lt;8, K22+K23+K24+K25+K26+K27+K28+K29+K30, "More Than 7 Cards")</f>
        <v>0</v>
      </c>
      <c r="L58" s="34"/>
      <c r="M58" s="33"/>
      <c r="N58" s="34"/>
      <c r="O58" s="67"/>
      <c r="P58" s="33"/>
      <c r="Q58" s="54" t="s">
        <v>35</v>
      </c>
      <c r="R58" s="55" t="s">
        <v>39</v>
      </c>
      <c r="S58" s="55">
        <f>IF(S22+S23+S24+S25+S26+S27+S28+S29+S30&lt;5, S22+S23+S24+S25+S26+S27+S28+S29+S30, "More Than 4 Cards")</f>
        <v>0</v>
      </c>
      <c r="W58" s="49"/>
    </row>
    <row r="59" spans="1:23" x14ac:dyDescent="0.2">
      <c r="A59" s="46" t="s">
        <v>37</v>
      </c>
      <c r="B59" s="6" t="s">
        <v>16</v>
      </c>
      <c r="C59" s="5"/>
      <c r="D59" s="13"/>
      <c r="G59" s="42"/>
      <c r="H59" s="5"/>
      <c r="I59" s="46" t="s">
        <v>37</v>
      </c>
      <c r="J59" s="6" t="s">
        <v>34</v>
      </c>
      <c r="K59" s="6">
        <f>IF(K36+K37+K38+K39+K40+K41&lt;9, K36+K37+K38+K39+K40+K41, "More Than 8 Modules")</f>
        <v>0</v>
      </c>
      <c r="L59" s="5"/>
      <c r="M59" s="5"/>
      <c r="N59" s="4"/>
      <c r="O59" s="49"/>
      <c r="P59" s="5"/>
      <c r="Q59" s="46" t="s">
        <v>37</v>
      </c>
      <c r="R59" s="6" t="s">
        <v>49</v>
      </c>
      <c r="S59" s="6">
        <f>IF(S36+S37+S38+S39+S40+S41&lt;4, S36+S37+S38+S39+S40+S41, "More Than 3 Modules")</f>
        <v>0</v>
      </c>
      <c r="W59" s="49"/>
    </row>
    <row r="60" spans="1:23" x14ac:dyDescent="0.2">
      <c r="A60" s="4" t="s">
        <v>108</v>
      </c>
      <c r="B60" s="6" t="s">
        <v>105</v>
      </c>
      <c r="C60" s="6">
        <f>C30+C29</f>
        <v>0</v>
      </c>
      <c r="D60" s="13"/>
      <c r="G60" s="42"/>
      <c r="H60" s="5"/>
      <c r="I60" s="46"/>
      <c r="J60" s="6"/>
      <c r="K60" s="6"/>
      <c r="L60" s="5"/>
      <c r="M60" s="5"/>
      <c r="N60" s="4"/>
      <c r="O60" s="49"/>
      <c r="P60" s="5"/>
      <c r="Q60" s="46"/>
      <c r="R60" s="6"/>
      <c r="S60" s="6"/>
      <c r="W60" s="49"/>
    </row>
    <row r="61" spans="1:23" ht="13.5" thickBot="1" x14ac:dyDescent="0.25">
      <c r="A61" s="58" t="s">
        <v>107</v>
      </c>
      <c r="B61" s="59" t="s">
        <v>106</v>
      </c>
      <c r="C61" s="59">
        <f>C24+C25+C26+C29+C30</f>
        <v>0</v>
      </c>
      <c r="D61" s="60"/>
      <c r="E61" s="61"/>
      <c r="F61" s="61"/>
      <c r="G61" s="62"/>
      <c r="H61" s="68"/>
      <c r="I61" s="58" t="s">
        <v>104</v>
      </c>
      <c r="J61" s="59" t="s">
        <v>39</v>
      </c>
      <c r="K61" s="59">
        <f>K24+K25+K26+K29+K30</f>
        <v>0</v>
      </c>
      <c r="L61" s="68"/>
      <c r="M61" s="68"/>
      <c r="N61" s="69"/>
      <c r="O61" s="70"/>
      <c r="P61" s="68"/>
      <c r="Q61" s="58"/>
      <c r="R61" s="59"/>
      <c r="S61" s="59"/>
      <c r="T61" s="61"/>
      <c r="U61" s="61"/>
      <c r="V61" s="61"/>
      <c r="W61" s="70"/>
    </row>
    <row r="62" spans="1:23" x14ac:dyDescent="0.2">
      <c r="C62" s="6"/>
      <c r="D62" s="13"/>
      <c r="G62" s="5"/>
      <c r="H62" s="5"/>
      <c r="I62" s="5"/>
      <c r="J62" s="5"/>
      <c r="K62" s="6"/>
    </row>
    <row r="63" spans="1:23" x14ac:dyDescent="0.2">
      <c r="A63" s="10"/>
      <c r="B63" s="4"/>
      <c r="C63" s="5"/>
      <c r="D63" s="13"/>
      <c r="G63" s="5"/>
      <c r="H63" s="5"/>
      <c r="I63" s="5"/>
      <c r="J63" s="5"/>
      <c r="L63" s="5"/>
      <c r="M63" s="5"/>
      <c r="N63" s="4"/>
      <c r="O63" s="6"/>
      <c r="P63" s="5"/>
      <c r="Q63" s="5"/>
      <c r="R63" s="5"/>
      <c r="S63" s="5"/>
      <c r="T63" s="7"/>
    </row>
    <row r="64" spans="1:23" x14ac:dyDescent="0.2">
      <c r="A64" s="4" t="s">
        <v>94</v>
      </c>
      <c r="D64" s="13"/>
      <c r="G64" s="5"/>
      <c r="H64" s="5"/>
      <c r="I64" s="5"/>
      <c r="J64" s="5"/>
      <c r="L64" s="5"/>
      <c r="M64" s="5"/>
      <c r="N64" s="4"/>
      <c r="P64" s="5"/>
      <c r="Q64" s="5"/>
      <c r="R64" s="5"/>
      <c r="S64" s="5"/>
      <c r="T64" s="5"/>
    </row>
    <row r="65" spans="1:20" ht="18" x14ac:dyDescent="0.25">
      <c r="A65" s="9"/>
      <c r="C65" s="14"/>
      <c r="G65" s="5"/>
      <c r="H65" s="5"/>
      <c r="I65" s="5"/>
      <c r="J65" s="5"/>
      <c r="L65" s="5"/>
      <c r="M65" s="5"/>
      <c r="N65" s="4"/>
      <c r="O65" s="5"/>
      <c r="P65" s="5"/>
      <c r="Q65" s="5"/>
      <c r="R65" s="5"/>
      <c r="S65" s="5"/>
      <c r="T65" s="5"/>
    </row>
    <row r="66" spans="1:20" x14ac:dyDescent="0.2">
      <c r="G66" s="5"/>
      <c r="H66" s="5"/>
      <c r="I66" s="5"/>
      <c r="J66" s="5"/>
      <c r="K66" s="5"/>
      <c r="L66" s="5"/>
      <c r="M66" s="5"/>
      <c r="N66" s="4"/>
      <c r="O66" s="6"/>
      <c r="P66" s="5"/>
      <c r="Q66" s="5"/>
      <c r="R66" s="5"/>
      <c r="S66" s="5"/>
      <c r="T66" s="7"/>
    </row>
    <row r="67" spans="1:20" x14ac:dyDescent="0.2">
      <c r="L67" s="5"/>
      <c r="M67" s="5"/>
      <c r="N67" s="4"/>
      <c r="O67" s="6"/>
      <c r="P67" s="5"/>
      <c r="Q67" s="5"/>
      <c r="R67" s="5"/>
      <c r="S67" s="5"/>
      <c r="T67" s="7"/>
    </row>
    <row r="68" spans="1:20" x14ac:dyDescent="0.2">
      <c r="N68" s="4"/>
      <c r="O68" s="5"/>
      <c r="P68" s="5"/>
      <c r="Q68" s="5"/>
      <c r="R68" s="5"/>
      <c r="S68" s="5"/>
      <c r="T68" s="5"/>
    </row>
    <row r="69" spans="1:20" x14ac:dyDescent="0.2">
      <c r="N69" s="4"/>
      <c r="O69" s="5"/>
      <c r="P69" s="5"/>
      <c r="Q69" s="5"/>
      <c r="R69" s="5"/>
      <c r="S69" s="5"/>
      <c r="T69" s="5"/>
    </row>
    <row r="70" spans="1:20" x14ac:dyDescent="0.2">
      <c r="N70" s="4"/>
      <c r="O70" s="5"/>
      <c r="P70" s="5"/>
      <c r="Q70" s="5"/>
      <c r="R70" s="5"/>
      <c r="S70" s="5"/>
      <c r="T70" s="5"/>
    </row>
  </sheetData>
  <sheetProtection algorithmName="SHA-512" hashValue="AVQ9nn1hUTxG/qIG4+Rsg8FekQnQgLm7s53Cr7JdebpkatP51RRwFPYzUzMuH5+YFy9cWCrPJa3NSGx8Sz0GEg==" saltValue="ZA/wp8uLOapV4VtrAJlI5w==" spinCount="100000" sheet="1" selectLockedCells="1"/>
  <mergeCells count="6">
    <mergeCell ref="A8:G8"/>
    <mergeCell ref="I8:O8"/>
    <mergeCell ref="Q8:W8"/>
    <mergeCell ref="D13:G13"/>
    <mergeCell ref="L13:O13"/>
    <mergeCell ref="T13:W13"/>
  </mergeCells>
  <phoneticPr fontId="1" type="noConversion"/>
  <conditionalFormatting sqref="C6:C7 K6:K7">
    <cfRule type="cellIs" dxfId="23" priority="45" stopIfTrue="1" operator="equal">
      <formula>"NO"</formula>
    </cfRule>
    <cfRule type="cellIs" dxfId="22" priority="46" stopIfTrue="1" operator="equal">
      <formula>"YES"</formula>
    </cfRule>
  </conditionalFormatting>
  <conditionalFormatting sqref="C57 K57 C59">
    <cfRule type="cellIs" dxfId="21" priority="51" stopIfTrue="1" operator="equal">
      <formula>FALSE</formula>
    </cfRule>
    <cfRule type="cellIs" dxfId="20" priority="52" stopIfTrue="1" operator="equal">
      <formula>TRUE</formula>
    </cfRule>
  </conditionalFormatting>
  <conditionalFormatting sqref="C58">
    <cfRule type="cellIs" dxfId="19" priority="59" stopIfTrue="1" operator="greaterThan">
      <formula>15</formula>
    </cfRule>
    <cfRule type="cellIs" dxfId="18" priority="60" stopIfTrue="1" operator="lessThan">
      <formula>16</formula>
    </cfRule>
  </conditionalFormatting>
  <conditionalFormatting sqref="C60">
    <cfRule type="cellIs" dxfId="17" priority="1" stopIfTrue="1" operator="lessThanOrEqual">
      <formula>5</formula>
    </cfRule>
    <cfRule type="cellIs" dxfId="16" priority="2" stopIfTrue="1" operator="greaterThan">
      <formula>5</formula>
    </cfRule>
  </conditionalFormatting>
  <conditionalFormatting sqref="C61">
    <cfRule type="cellIs" dxfId="15" priority="7" stopIfTrue="1" operator="greaterThan">
      <formula>6</formula>
    </cfRule>
    <cfRule type="cellIs" dxfId="14" priority="8" stopIfTrue="1" operator="lessThanOrEqual">
      <formula>6</formula>
    </cfRule>
  </conditionalFormatting>
  <conditionalFormatting sqref="C62 K62">
    <cfRule type="cellIs" dxfId="13" priority="47" stopIfTrue="1" operator="greaterThan">
      <formula>17</formula>
    </cfRule>
    <cfRule type="cellIs" dxfId="12" priority="48" stopIfTrue="1" operator="lessThan">
      <formula>18</formula>
    </cfRule>
  </conditionalFormatting>
  <conditionalFormatting sqref="C65">
    <cfRule type="cellIs" dxfId="11" priority="49" stopIfTrue="1" operator="equal">
      <formula>FALSE</formula>
    </cfRule>
    <cfRule type="cellIs" dxfId="10" priority="50" stopIfTrue="1" operator="equal">
      <formula>TRUE</formula>
    </cfRule>
  </conditionalFormatting>
  <conditionalFormatting sqref="K58 S58">
    <cfRule type="cellIs" dxfId="9" priority="55" stopIfTrue="1" operator="greaterThan">
      <formula>7</formula>
    </cfRule>
    <cfRule type="cellIs" dxfId="8" priority="56" stopIfTrue="1" operator="lessThan">
      <formula>8</formula>
    </cfRule>
  </conditionalFormatting>
  <conditionalFormatting sqref="K59:K60 S59:S61">
    <cfRule type="cellIs" dxfId="7" priority="53" stopIfTrue="1" operator="greaterThan">
      <formula>9</formula>
    </cfRule>
    <cfRule type="cellIs" dxfId="6" priority="54" stopIfTrue="1" operator="lessThan">
      <formula>10</formula>
    </cfRule>
  </conditionalFormatting>
  <conditionalFormatting sqref="K61">
    <cfRule type="cellIs" dxfId="5" priority="3" stopIfTrue="1" operator="greaterThan">
      <formula>4</formula>
    </cfRule>
    <cfRule type="cellIs" dxfId="4" priority="4" stopIfTrue="1" operator="lessThanOrEqual">
      <formula>4</formula>
    </cfRule>
  </conditionalFormatting>
  <conditionalFormatting sqref="S6">
    <cfRule type="cellIs" dxfId="3" priority="9" stopIfTrue="1" operator="equal">
      <formula>"NO"</formula>
    </cfRule>
    <cfRule type="cellIs" dxfId="2" priority="10" stopIfTrue="1" operator="equal">
      <formula>"YES"</formula>
    </cfRule>
  </conditionalFormatting>
  <conditionalFormatting sqref="S51:S54 C51:E56 K51:M56 S56">
    <cfRule type="cellIs" dxfId="1" priority="57" stopIfTrue="1" operator="equal">
      <formula>"NO"</formula>
    </cfRule>
    <cfRule type="cellIs" dxfId="0" priority="58" stopIfTrue="1" operator="equal">
      <formula>"YES"</formula>
    </cfRule>
  </conditionalFormatting>
  <pageMargins left="0.74803149606299213" right="0.74803149606299213" top="0.98425196850393704" bottom="0.98425196850393704" header="0.51181102362204722" footer="0.51181102362204722"/>
  <pageSetup paperSize="9" scale="42" orientation="landscape" r:id="rId1"/>
  <headerFooter alignWithMargins="0"/>
  <ignoredErrors>
    <ignoredError sqref="B5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Group Box 16">
              <controlPr defaultSize="0" autoFill="0" autoPict="0" altText="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1</xdr:col>
                    <xdr:colOff>200025</xdr:colOff>
                    <xdr:row>9</xdr:row>
                    <xdr:rowOff>142875</xdr:rowOff>
                  </from>
                  <to>
                    <xdr:col>1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Group Box 18">
              <controlPr defaultSize="0" autoFill="0" autoPict="0">
                <anchor moveWithCells="1">
                  <from>
                    <xdr:col>9</xdr:col>
                    <xdr:colOff>9525</xdr:colOff>
                    <xdr:row>9</xdr:row>
                    <xdr:rowOff>9525</xdr:rowOff>
                  </from>
                  <to>
                    <xdr:col>9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Option Button 29">
              <controlPr defaultSize="0" autoFill="0" autoLine="0" autoPict="0">
                <anchor moveWithCells="1">
                  <from>
                    <xdr:col>1</xdr:col>
                    <xdr:colOff>200025</xdr:colOff>
                    <xdr:row>10</xdr:row>
                    <xdr:rowOff>142875</xdr:rowOff>
                  </from>
                  <to>
                    <xdr:col>1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Group Box 30">
              <controlPr defaultSize="0" autoFill="0" autoPict="0" altText="">
                <anchor moveWithCells="1">
                  <from>
                    <xdr:col>9</xdr:col>
                    <xdr:colOff>9525</xdr:colOff>
                    <xdr:row>9</xdr:row>
                    <xdr:rowOff>0</xdr:rowOff>
                  </from>
                  <to>
                    <xdr:col>9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Option Button 31">
              <controlPr defaultSize="0" autoFill="0" autoLine="0" autoPict="0">
                <anchor moveWithCells="1">
                  <from>
                    <xdr:col>9</xdr:col>
                    <xdr:colOff>200025</xdr:colOff>
                    <xdr:row>9</xdr:row>
                    <xdr:rowOff>142875</xdr:rowOff>
                  </from>
                  <to>
                    <xdr:col>9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Option Button 32">
              <controlPr defaultSize="0" autoFill="0" autoLine="0" autoPict="0">
                <anchor moveWithCells="1">
                  <from>
                    <xdr:col>9</xdr:col>
                    <xdr:colOff>200025</xdr:colOff>
                    <xdr:row>10</xdr:row>
                    <xdr:rowOff>142875</xdr:rowOff>
                  </from>
                  <to>
                    <xdr:col>9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40"/>
  <sheetViews>
    <sheetView workbookViewId="0">
      <selection activeCell="J24" sqref="J24"/>
    </sheetView>
  </sheetViews>
  <sheetFormatPr defaultColWidth="9.140625" defaultRowHeight="12.75" x14ac:dyDescent="0.2"/>
  <cols>
    <col min="1" max="1" width="43.28515625" style="15" bestFit="1" customWidth="1"/>
    <col min="2" max="2" width="10.7109375" style="15" customWidth="1"/>
    <col min="3" max="3" width="18.85546875" style="16" bestFit="1" customWidth="1"/>
    <col min="4" max="5" width="9.140625" style="16"/>
    <col min="6" max="6" width="7" style="16" bestFit="1" customWidth="1"/>
    <col min="7" max="7" width="9.140625" style="16"/>
    <col min="8" max="8" width="13.5703125" style="15" bestFit="1" customWidth="1"/>
    <col min="9" max="13" width="9.140625" style="15"/>
    <col min="14" max="14" width="13.28515625" style="15" bestFit="1" customWidth="1"/>
    <col min="15" max="17" width="9.140625" style="15"/>
    <col min="18" max="18" width="12" style="15" bestFit="1" customWidth="1"/>
    <col min="19" max="19" width="17.28515625" style="15" bestFit="1" customWidth="1"/>
    <col min="20" max="16384" width="9.140625" style="15"/>
  </cols>
  <sheetData>
    <row r="1" spans="1:19" x14ac:dyDescent="0.2">
      <c r="A1" s="26" t="s">
        <v>0</v>
      </c>
      <c r="J1" s="81" t="s">
        <v>50</v>
      </c>
      <c r="K1" s="81"/>
      <c r="L1" s="81"/>
      <c r="M1" s="81"/>
      <c r="N1" s="81" t="s">
        <v>51</v>
      </c>
      <c r="O1" s="81"/>
      <c r="P1" s="81"/>
      <c r="Q1" s="81"/>
      <c r="R1" s="81"/>
    </row>
    <row r="2" spans="1:19" s="26" customFormat="1" x14ac:dyDescent="0.2">
      <c r="B2" s="27" t="s">
        <v>6</v>
      </c>
      <c r="C2" s="27" t="s">
        <v>7</v>
      </c>
      <c r="D2" s="27" t="s">
        <v>8</v>
      </c>
      <c r="E2" s="27" t="s">
        <v>9</v>
      </c>
      <c r="F2" s="27"/>
      <c r="G2" s="27"/>
      <c r="H2" s="26" t="s">
        <v>52</v>
      </c>
      <c r="I2" s="26" t="s">
        <v>53</v>
      </c>
      <c r="J2" s="27" t="s">
        <v>6</v>
      </c>
      <c r="K2" s="27" t="s">
        <v>7</v>
      </c>
      <c r="L2" s="27" t="s">
        <v>8</v>
      </c>
      <c r="M2" s="27" t="s">
        <v>9</v>
      </c>
      <c r="N2" s="27" t="s">
        <v>6</v>
      </c>
      <c r="O2" s="27" t="s">
        <v>7</v>
      </c>
      <c r="P2" s="27" t="s">
        <v>8</v>
      </c>
      <c r="Q2" s="27" t="s">
        <v>9</v>
      </c>
      <c r="R2" s="26" t="s">
        <v>32</v>
      </c>
    </row>
    <row r="3" spans="1:19" x14ac:dyDescent="0.2">
      <c r="A3" s="15" t="s">
        <v>15</v>
      </c>
      <c r="B3" s="16">
        <v>35</v>
      </c>
      <c r="C3" s="16">
        <v>25</v>
      </c>
      <c r="D3" s="16">
        <v>8</v>
      </c>
      <c r="E3" s="16">
        <v>1.5</v>
      </c>
      <c r="F3" s="28"/>
      <c r="G3" s="28"/>
      <c r="H3" s="32" t="s">
        <v>54</v>
      </c>
      <c r="I3" s="15" t="s">
        <v>55</v>
      </c>
      <c r="J3" s="32">
        <v>20.170000000000002</v>
      </c>
      <c r="K3" s="32">
        <v>2.97</v>
      </c>
      <c r="L3" s="15">
        <v>3.51</v>
      </c>
      <c r="M3" s="15">
        <v>0.4</v>
      </c>
      <c r="N3" s="15">
        <v>63.31</v>
      </c>
      <c r="O3" s="15">
        <v>14.84</v>
      </c>
      <c r="P3" s="15">
        <v>19.920000000000002</v>
      </c>
      <c r="Q3" s="15">
        <v>4.8</v>
      </c>
      <c r="R3" s="15">
        <f t="shared" ref="R3:R9" si="0">SUM(N3:Q3)</f>
        <v>102.87</v>
      </c>
    </row>
    <row r="4" spans="1:19" x14ac:dyDescent="0.2">
      <c r="A4" s="15" t="s">
        <v>14</v>
      </c>
      <c r="B4" s="16" t="s">
        <v>11</v>
      </c>
      <c r="C4" s="16" t="s">
        <v>11</v>
      </c>
      <c r="D4" s="16" t="s">
        <v>12</v>
      </c>
      <c r="E4" s="16" t="s">
        <v>13</v>
      </c>
      <c r="F4" s="28"/>
      <c r="G4" s="28"/>
      <c r="H4" s="15" t="s">
        <v>54</v>
      </c>
      <c r="I4" s="15" t="s">
        <v>56</v>
      </c>
      <c r="J4" s="32">
        <v>20.170000000000002</v>
      </c>
      <c r="K4" s="32">
        <v>2.97</v>
      </c>
      <c r="L4" s="15">
        <v>2.93</v>
      </c>
      <c r="M4" s="15">
        <v>0.54</v>
      </c>
      <c r="N4" s="15">
        <v>63.31</v>
      </c>
      <c r="O4" s="15">
        <v>14.84</v>
      </c>
      <c r="P4" s="15">
        <v>12.9</v>
      </c>
      <c r="Q4" s="15">
        <v>6.42</v>
      </c>
      <c r="R4" s="15">
        <f t="shared" si="0"/>
        <v>97.470000000000013</v>
      </c>
    </row>
    <row r="5" spans="1:19" x14ac:dyDescent="0.2">
      <c r="H5" s="15" t="s">
        <v>58</v>
      </c>
      <c r="I5" s="15" t="s">
        <v>55</v>
      </c>
      <c r="J5" s="15">
        <v>8.0500000000000007</v>
      </c>
      <c r="K5" s="15">
        <v>2.29</v>
      </c>
      <c r="L5" s="32">
        <v>3.66</v>
      </c>
      <c r="M5" s="15">
        <v>0.75</v>
      </c>
      <c r="N5" s="15">
        <v>23.31</v>
      </c>
      <c r="O5" s="15">
        <v>11.44</v>
      </c>
      <c r="P5" s="15">
        <v>21.7</v>
      </c>
      <c r="Q5" s="15">
        <v>8.98</v>
      </c>
      <c r="R5" s="15">
        <f t="shared" si="0"/>
        <v>65.430000000000007</v>
      </c>
    </row>
    <row r="6" spans="1:19" x14ac:dyDescent="0.2">
      <c r="H6" s="15" t="s">
        <v>58</v>
      </c>
      <c r="I6" s="15" t="s">
        <v>56</v>
      </c>
      <c r="J6" s="15">
        <v>8.0500000000000007</v>
      </c>
      <c r="K6" s="15">
        <v>2.29</v>
      </c>
      <c r="L6" s="15">
        <v>3.07</v>
      </c>
      <c r="M6" s="32">
        <v>0.88</v>
      </c>
      <c r="N6" s="15">
        <v>23.31</v>
      </c>
      <c r="O6" s="15">
        <v>11.44</v>
      </c>
      <c r="P6" s="15">
        <v>14.68</v>
      </c>
      <c r="Q6" s="15">
        <v>10.6</v>
      </c>
      <c r="R6" s="15">
        <f t="shared" si="0"/>
        <v>60.03</v>
      </c>
    </row>
    <row r="7" spans="1:19" x14ac:dyDescent="0.2">
      <c r="A7" s="26" t="s">
        <v>1</v>
      </c>
      <c r="H7" s="26" t="s">
        <v>57</v>
      </c>
      <c r="J7" s="29">
        <v>20.170000000000002</v>
      </c>
      <c r="K7" s="29">
        <v>2.97</v>
      </c>
      <c r="L7" s="29">
        <v>3.66</v>
      </c>
      <c r="M7" s="29">
        <v>0.88</v>
      </c>
      <c r="N7" s="15">
        <v>63.31</v>
      </c>
      <c r="O7" s="15">
        <v>14.84</v>
      </c>
      <c r="P7" s="15">
        <v>21.7</v>
      </c>
      <c r="Q7" s="15">
        <v>10.6</v>
      </c>
      <c r="R7" s="29">
        <f t="shared" si="0"/>
        <v>110.45</v>
      </c>
    </row>
    <row r="8" spans="1:19" s="26" customFormat="1" x14ac:dyDescent="0.2">
      <c r="A8" s="26" t="s">
        <v>35</v>
      </c>
      <c r="B8" s="27" t="s">
        <v>6</v>
      </c>
      <c r="C8" s="27" t="s">
        <v>7</v>
      </c>
      <c r="D8" s="27" t="s">
        <v>8</v>
      </c>
      <c r="E8" s="27" t="s">
        <v>9</v>
      </c>
      <c r="F8" s="27" t="s">
        <v>51</v>
      </c>
      <c r="G8" s="27"/>
      <c r="H8" s="26" t="s">
        <v>65</v>
      </c>
      <c r="J8" s="29">
        <f>SUM(J7*1.1)</f>
        <v>22.187000000000005</v>
      </c>
      <c r="K8" s="29">
        <f>SUM(K7*1.1)</f>
        <v>3.2670000000000003</v>
      </c>
      <c r="L8" s="29">
        <f>SUM(L7*1.1)</f>
        <v>4.0260000000000007</v>
      </c>
      <c r="M8" s="29">
        <f>SUM(M7*1.1)</f>
        <v>0.96800000000000008</v>
      </c>
      <c r="N8" s="15">
        <f>SUM(J8*3.3)</f>
        <v>73.217100000000016</v>
      </c>
      <c r="O8" s="15">
        <f>SUM(K8*5)</f>
        <v>16.335000000000001</v>
      </c>
      <c r="P8" s="15">
        <f t="shared" ref="P8:Q10" si="1">SUM(L8*12)</f>
        <v>48.312000000000012</v>
      </c>
      <c r="Q8" s="15">
        <f t="shared" si="1"/>
        <v>11.616000000000001</v>
      </c>
      <c r="R8" s="29">
        <f t="shared" si="0"/>
        <v>149.48010000000005</v>
      </c>
    </row>
    <row r="9" spans="1:19" x14ac:dyDescent="0.2">
      <c r="A9" s="15" t="s">
        <v>2</v>
      </c>
      <c r="B9" s="16">
        <v>2.41</v>
      </c>
      <c r="C9" s="16">
        <v>1.9E-2</v>
      </c>
      <c r="D9" s="16">
        <v>0</v>
      </c>
      <c r="E9" s="16">
        <v>0</v>
      </c>
      <c r="F9" s="16">
        <f>SUM((B9*3.3)+(C9*5)+(D9*12)+(E9*12))</f>
        <v>8.048</v>
      </c>
      <c r="H9" s="26" t="s">
        <v>67</v>
      </c>
      <c r="J9" s="29">
        <f>SUM(J7*1.05)</f>
        <v>21.178500000000003</v>
      </c>
      <c r="K9" s="29">
        <f>SUM(K7*1.05)</f>
        <v>3.1185000000000005</v>
      </c>
      <c r="L9" s="29">
        <f>SUM(L7*1.05)</f>
        <v>3.8430000000000004</v>
      </c>
      <c r="M9" s="29">
        <f>SUM(M7*1.05)</f>
        <v>0.92400000000000004</v>
      </c>
      <c r="N9" s="15">
        <f>SUM(J9*3.3)</f>
        <v>69.889050000000012</v>
      </c>
      <c r="O9" s="15">
        <f>SUM(K9*5)</f>
        <v>15.592500000000003</v>
      </c>
      <c r="P9" s="15">
        <f t="shared" si="1"/>
        <v>46.116000000000007</v>
      </c>
      <c r="Q9" s="15">
        <f t="shared" si="1"/>
        <v>11.088000000000001</v>
      </c>
      <c r="R9" s="29">
        <f t="shared" si="0"/>
        <v>142.68555000000001</v>
      </c>
    </row>
    <row r="10" spans="1:19" x14ac:dyDescent="0.2">
      <c r="A10" s="15" t="s">
        <v>5</v>
      </c>
      <c r="B10" s="16">
        <v>0.35</v>
      </c>
      <c r="C10" s="16">
        <v>0.09</v>
      </c>
      <c r="D10" s="16">
        <v>0</v>
      </c>
      <c r="E10" s="16">
        <v>0</v>
      </c>
      <c r="F10" s="16">
        <f>SUM((B10*3.3)+(C10*5)+(D10*12)+(E10*12))</f>
        <v>1.6049999999999998</v>
      </c>
      <c r="J10" s="29">
        <v>22</v>
      </c>
      <c r="K10" s="29">
        <v>3.5</v>
      </c>
      <c r="L10" s="29">
        <v>4</v>
      </c>
      <c r="M10" s="29">
        <v>1</v>
      </c>
      <c r="N10" s="15">
        <f>SUM(J10*3.3)</f>
        <v>72.599999999999994</v>
      </c>
      <c r="O10" s="15">
        <f>SUM(K10*5)</f>
        <v>17.5</v>
      </c>
      <c r="P10" s="15">
        <f t="shared" si="1"/>
        <v>48</v>
      </c>
      <c r="Q10" s="15">
        <f t="shared" si="1"/>
        <v>12</v>
      </c>
      <c r="R10" s="29">
        <f>SUM(N10:Q10)</f>
        <v>150.1</v>
      </c>
    </row>
    <row r="11" spans="1:19" x14ac:dyDescent="0.2">
      <c r="A11" s="15" t="s">
        <v>59</v>
      </c>
      <c r="B11" s="16">
        <v>1.4999999999999999E-2</v>
      </c>
      <c r="C11" s="16">
        <v>0.04</v>
      </c>
      <c r="D11" s="16">
        <v>0.35</v>
      </c>
      <c r="E11" s="16">
        <v>0.01</v>
      </c>
      <c r="F11" s="16">
        <f>SUM((B11*3.3)+(C11*5)+(D11*12)+(E11*12))</f>
        <v>4.5694999999999997</v>
      </c>
    </row>
    <row r="12" spans="1:19" x14ac:dyDescent="0.2">
      <c r="A12" s="15" t="s">
        <v>60</v>
      </c>
      <c r="B12" s="16">
        <v>1</v>
      </c>
      <c r="C12" s="16">
        <v>0.04</v>
      </c>
      <c r="D12" s="16">
        <v>2.2000000000000002</v>
      </c>
      <c r="E12" s="16">
        <v>0</v>
      </c>
      <c r="F12" s="16">
        <f>SUM((B12*3.3)+(C12*5)+(D12*12)+(E12*12))</f>
        <v>29.900000000000002</v>
      </c>
      <c r="G12" s="28"/>
      <c r="H12" s="28" t="s">
        <v>64</v>
      </c>
      <c r="K12" s="11"/>
      <c r="L12" s="11"/>
      <c r="M12" s="11"/>
    </row>
    <row r="13" spans="1:19" x14ac:dyDescent="0.2">
      <c r="A13" s="15" t="s">
        <v>61</v>
      </c>
      <c r="B13" s="16">
        <v>0</v>
      </c>
      <c r="C13" s="16">
        <v>0</v>
      </c>
      <c r="D13" s="16">
        <v>0</v>
      </c>
      <c r="E13" s="16">
        <v>0</v>
      </c>
      <c r="K13" s="11"/>
      <c r="L13" s="11">
        <v>1.81</v>
      </c>
      <c r="M13" s="11"/>
      <c r="R13" s="31" t="s">
        <v>68</v>
      </c>
      <c r="S13" s="30" t="s">
        <v>66</v>
      </c>
    </row>
    <row r="14" spans="1:19" x14ac:dyDescent="0.2">
      <c r="B14" s="16"/>
    </row>
    <row r="15" spans="1:19" s="26" customFormat="1" x14ac:dyDescent="0.2">
      <c r="A15" s="26" t="s">
        <v>62</v>
      </c>
      <c r="B15" s="27" t="s">
        <v>6</v>
      </c>
      <c r="C15" s="27" t="s">
        <v>7</v>
      </c>
      <c r="D15" s="27" t="s">
        <v>8</v>
      </c>
      <c r="E15" s="27" t="s">
        <v>9</v>
      </c>
      <c r="F15" s="27" t="s">
        <v>51</v>
      </c>
      <c r="G15" s="27"/>
    </row>
    <row r="16" spans="1:19" x14ac:dyDescent="0.2">
      <c r="A16" s="15" t="s">
        <v>3</v>
      </c>
      <c r="B16" s="16">
        <v>0.47</v>
      </c>
      <c r="C16" s="16">
        <v>0.53</v>
      </c>
      <c r="D16" s="16">
        <v>8.6999999999999994E-2</v>
      </c>
      <c r="E16" s="16">
        <v>8.6999999999999994E-2</v>
      </c>
      <c r="F16" s="16">
        <f t="shared" ref="F16:F24" si="2">SUM((B16*3.3)+(C16*5)+(D16*12)+(E16*12))</f>
        <v>6.2890000000000015</v>
      </c>
    </row>
    <row r="17" spans="1:9" x14ac:dyDescent="0.2">
      <c r="A17" s="15" t="s">
        <v>4</v>
      </c>
      <c r="B17" s="16">
        <v>0.65</v>
      </c>
      <c r="C17" s="16">
        <v>0</v>
      </c>
      <c r="D17" s="16">
        <v>0</v>
      </c>
      <c r="E17" s="16">
        <v>0</v>
      </c>
      <c r="F17" s="16">
        <f t="shared" si="2"/>
        <v>2.145</v>
      </c>
    </row>
    <row r="18" spans="1:9" x14ac:dyDescent="0.2">
      <c r="A18" s="15" t="s">
        <v>20</v>
      </c>
      <c r="B18" s="16">
        <v>1.25</v>
      </c>
      <c r="C18" s="16">
        <v>0</v>
      </c>
      <c r="D18" s="16">
        <v>0</v>
      </c>
      <c r="E18" s="16">
        <v>0</v>
      </c>
      <c r="F18" s="16">
        <f t="shared" si="2"/>
        <v>4.125</v>
      </c>
    </row>
    <row r="19" spans="1:9" x14ac:dyDescent="0.2">
      <c r="A19" s="17" t="s">
        <v>10</v>
      </c>
      <c r="B19" s="16">
        <v>3.5</v>
      </c>
      <c r="C19" s="16">
        <v>0.7</v>
      </c>
      <c r="D19" s="16">
        <v>0.05</v>
      </c>
      <c r="E19" s="16">
        <v>0</v>
      </c>
      <c r="F19" s="16">
        <f t="shared" si="2"/>
        <v>15.649999999999999</v>
      </c>
    </row>
    <row r="20" spans="1:9" x14ac:dyDescent="0.2">
      <c r="A20" s="15" t="s">
        <v>45</v>
      </c>
      <c r="B20" s="16">
        <v>1.5</v>
      </c>
      <c r="C20" s="16">
        <v>0</v>
      </c>
      <c r="D20" s="16">
        <v>0</v>
      </c>
      <c r="E20" s="16">
        <v>0</v>
      </c>
      <c r="F20" s="16">
        <f t="shared" si="2"/>
        <v>4.9499999999999993</v>
      </c>
    </row>
    <row r="21" spans="1:9" x14ac:dyDescent="0.2">
      <c r="A21" s="15" t="s">
        <v>92</v>
      </c>
      <c r="B21" s="16">
        <v>2.2000000000000002</v>
      </c>
      <c r="C21" s="16">
        <v>0</v>
      </c>
      <c r="D21" s="16">
        <v>0</v>
      </c>
      <c r="E21" s="16">
        <v>0</v>
      </c>
      <c r="F21" s="16">
        <v>0</v>
      </c>
    </row>
    <row r="22" spans="1:9" x14ac:dyDescent="0.2">
      <c r="A22" s="15" t="s">
        <v>101</v>
      </c>
      <c r="B22" s="16">
        <v>3.73</v>
      </c>
      <c r="C22" s="16">
        <v>0.77</v>
      </c>
      <c r="D22" s="16">
        <v>0.18</v>
      </c>
      <c r="E22" s="16">
        <v>0</v>
      </c>
      <c r="F22" s="16">
        <f t="shared" si="2"/>
        <v>18.318999999999999</v>
      </c>
    </row>
    <row r="23" spans="1:9" x14ac:dyDescent="0.2">
      <c r="A23" s="15" t="s">
        <v>102</v>
      </c>
      <c r="B23" s="16">
        <v>1.02</v>
      </c>
      <c r="C23" s="16">
        <v>0</v>
      </c>
      <c r="D23" s="16">
        <v>0</v>
      </c>
      <c r="E23" s="16">
        <v>0</v>
      </c>
      <c r="F23" s="16">
        <f t="shared" si="2"/>
        <v>3.3659999999999997</v>
      </c>
    </row>
    <row r="24" spans="1:9" x14ac:dyDescent="0.2">
      <c r="A24" s="15" t="s">
        <v>103</v>
      </c>
      <c r="B24" s="16">
        <v>0.74</v>
      </c>
      <c r="C24" s="16">
        <v>0</v>
      </c>
      <c r="D24" s="16">
        <v>0</v>
      </c>
      <c r="E24" s="16">
        <v>0</v>
      </c>
      <c r="F24" s="16">
        <f t="shared" si="2"/>
        <v>2.4419999999999997</v>
      </c>
    </row>
    <row r="25" spans="1:9" x14ac:dyDescent="0.2">
      <c r="B25" s="16"/>
    </row>
    <row r="26" spans="1:9" x14ac:dyDescent="0.2">
      <c r="A26" s="26" t="s">
        <v>63</v>
      </c>
      <c r="B26" s="27" t="s">
        <v>6</v>
      </c>
      <c r="C26" s="27" t="s">
        <v>7</v>
      </c>
      <c r="D26" s="27" t="s">
        <v>8</v>
      </c>
      <c r="E26" s="27" t="s">
        <v>9</v>
      </c>
      <c r="F26" s="27" t="s">
        <v>51</v>
      </c>
      <c r="G26" s="27"/>
    </row>
    <row r="27" spans="1:9" x14ac:dyDescent="0.2">
      <c r="A27" s="12" t="s">
        <v>21</v>
      </c>
      <c r="B27" s="16">
        <v>0</v>
      </c>
      <c r="C27" s="16">
        <v>0</v>
      </c>
      <c r="D27" s="16">
        <v>0</v>
      </c>
      <c r="E27" s="16">
        <v>0</v>
      </c>
      <c r="F27" s="16">
        <f t="shared" ref="F27:F32" si="3">SUM((D27*12)+(E27*12))</f>
        <v>0</v>
      </c>
      <c r="H27" s="15">
        <f t="shared" ref="H27:H31" si="4">SUM(D27*3)</f>
        <v>0</v>
      </c>
      <c r="I27" s="15">
        <f t="shared" ref="I27:I31" si="5">SUM(E27*3)</f>
        <v>0</v>
      </c>
    </row>
    <row r="28" spans="1:9" x14ac:dyDescent="0.2">
      <c r="A28" s="12" t="s">
        <v>22</v>
      </c>
      <c r="B28" s="16">
        <v>0</v>
      </c>
      <c r="C28" s="16">
        <v>0</v>
      </c>
      <c r="D28" s="16">
        <v>0.15</v>
      </c>
      <c r="E28" s="16">
        <v>0.15</v>
      </c>
      <c r="F28" s="16">
        <f t="shared" si="3"/>
        <v>3.5999999999999996</v>
      </c>
      <c r="H28" s="15">
        <f t="shared" si="4"/>
        <v>0.44999999999999996</v>
      </c>
      <c r="I28" s="15">
        <f t="shared" si="5"/>
        <v>0.44999999999999996</v>
      </c>
    </row>
    <row r="29" spans="1:9" x14ac:dyDescent="0.2">
      <c r="A29" s="12" t="s">
        <v>23</v>
      </c>
      <c r="B29" s="16">
        <v>0</v>
      </c>
      <c r="C29" s="16">
        <v>0</v>
      </c>
      <c r="D29" s="16">
        <v>0.02</v>
      </c>
      <c r="E29" s="16">
        <v>0.02</v>
      </c>
      <c r="F29" s="16">
        <f t="shared" si="3"/>
        <v>0.48</v>
      </c>
      <c r="H29" s="15">
        <f t="shared" si="4"/>
        <v>0.06</v>
      </c>
      <c r="I29" s="15">
        <f t="shared" si="5"/>
        <v>0.06</v>
      </c>
    </row>
    <row r="30" spans="1:9" x14ac:dyDescent="0.2">
      <c r="A30" s="12" t="s">
        <v>24</v>
      </c>
      <c r="B30" s="16">
        <v>0</v>
      </c>
      <c r="C30" s="16">
        <v>0</v>
      </c>
      <c r="D30" s="16">
        <v>0.15</v>
      </c>
      <c r="E30" s="16">
        <v>0.15</v>
      </c>
      <c r="F30" s="16">
        <f t="shared" si="3"/>
        <v>3.5999999999999996</v>
      </c>
      <c r="H30" s="15">
        <f t="shared" si="4"/>
        <v>0.44999999999999996</v>
      </c>
      <c r="I30" s="15">
        <f t="shared" si="5"/>
        <v>0.44999999999999996</v>
      </c>
    </row>
    <row r="31" spans="1:9" x14ac:dyDescent="0.2">
      <c r="A31" s="12" t="s">
        <v>25</v>
      </c>
      <c r="B31" s="16">
        <v>0</v>
      </c>
      <c r="C31" s="16">
        <v>0</v>
      </c>
      <c r="D31" s="16">
        <v>0.37</v>
      </c>
      <c r="E31" s="16">
        <v>0.13</v>
      </c>
      <c r="F31" s="16">
        <f t="shared" si="3"/>
        <v>6</v>
      </c>
      <c r="H31" s="15">
        <f t="shared" si="4"/>
        <v>1.1099999999999999</v>
      </c>
      <c r="I31" s="15">
        <f t="shared" si="5"/>
        <v>0.39</v>
      </c>
    </row>
    <row r="32" spans="1:9" x14ac:dyDescent="0.2">
      <c r="A32" s="12" t="s">
        <v>26</v>
      </c>
      <c r="B32" s="16">
        <v>0</v>
      </c>
      <c r="C32" s="16">
        <v>0</v>
      </c>
      <c r="D32" s="16">
        <v>0.17499999999999999</v>
      </c>
      <c r="E32" s="16">
        <v>0.17499999999999999</v>
      </c>
      <c r="F32" s="16">
        <f t="shared" si="3"/>
        <v>4.1999999999999993</v>
      </c>
      <c r="H32" s="15">
        <f>SUM(D32*3)</f>
        <v>0.52499999999999991</v>
      </c>
      <c r="I32" s="15">
        <f>SUM(E32*3)</f>
        <v>0.52499999999999991</v>
      </c>
    </row>
    <row r="33" spans="2:19" x14ac:dyDescent="0.2">
      <c r="C33" s="15"/>
      <c r="D33" s="15"/>
      <c r="E33" s="15"/>
    </row>
    <row r="38" spans="2:19" x14ac:dyDescent="0.2">
      <c r="B38" s="15" t="s">
        <v>46</v>
      </c>
      <c r="C38" s="16" t="s">
        <v>46</v>
      </c>
      <c r="D38" s="16" t="s">
        <v>3</v>
      </c>
      <c r="E38" s="16" t="s">
        <v>3</v>
      </c>
      <c r="N38" s="26"/>
      <c r="O38" s="27" t="s">
        <v>6</v>
      </c>
      <c r="P38" s="27" t="s">
        <v>7</v>
      </c>
      <c r="Q38" s="27" t="s">
        <v>8</v>
      </c>
      <c r="R38" s="27" t="s">
        <v>9</v>
      </c>
      <c r="S38" s="27" t="s">
        <v>51</v>
      </c>
    </row>
    <row r="39" spans="2:19" x14ac:dyDescent="0.2">
      <c r="D39" s="16" t="s">
        <v>47</v>
      </c>
      <c r="E39" s="16" t="s">
        <v>48</v>
      </c>
      <c r="N39" s="15" t="s">
        <v>74</v>
      </c>
      <c r="O39" s="16">
        <v>0.47</v>
      </c>
      <c r="P39" s="16">
        <v>0.53</v>
      </c>
      <c r="Q39" s="16">
        <v>8.6999999999999994E-2</v>
      </c>
      <c r="R39" s="16">
        <v>8.6999999999999994E-2</v>
      </c>
      <c r="S39" s="16">
        <f t="shared" ref="S39:S40" si="6">SUM((O39*3.3)+(P39*5)+(Q39*12)+(R39*12))</f>
        <v>6.2890000000000015</v>
      </c>
    </row>
    <row r="40" spans="2:19" x14ac:dyDescent="0.2">
      <c r="N40" s="15" t="s">
        <v>75</v>
      </c>
      <c r="O40" s="16">
        <v>0.4</v>
      </c>
      <c r="P40" s="16">
        <v>0.36</v>
      </c>
      <c r="Q40" s="16">
        <v>9.6000000000000002E-2</v>
      </c>
      <c r="R40" s="16">
        <v>0.1</v>
      </c>
      <c r="S40" s="16">
        <f t="shared" si="6"/>
        <v>5.4720000000000004</v>
      </c>
    </row>
  </sheetData>
  <sheetProtection selectLockedCells="1"/>
  <mergeCells count="2">
    <mergeCell ref="J1:M1"/>
    <mergeCell ref="N1:R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2"/>
  <sheetViews>
    <sheetView workbookViewId="0">
      <selection activeCell="B2" sqref="B2"/>
    </sheetView>
  </sheetViews>
  <sheetFormatPr defaultRowHeight="12.75" x14ac:dyDescent="0.2"/>
  <sheetData>
    <row r="1" spans="1:2" x14ac:dyDescent="0.2">
      <c r="A1" s="25" t="s">
        <v>43</v>
      </c>
      <c r="B1" s="25" t="s">
        <v>44</v>
      </c>
    </row>
    <row r="2" spans="1:2" x14ac:dyDescent="0.2">
      <c r="A2">
        <v>2</v>
      </c>
      <c r="B2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135D8CD34B74694981A2272324EC9" ma:contentTypeVersion="40" ma:contentTypeDescription="Create a new document." ma:contentTypeScope="" ma:versionID="3497a7503da293281b68ad65c563c1c5">
  <xsd:schema xmlns:xsd="http://www.w3.org/2001/XMLSchema" xmlns:xs="http://www.w3.org/2001/XMLSchema" xmlns:p="http://schemas.microsoft.com/office/2006/metadata/properties" xmlns:ns1="http://schemas.microsoft.com/sharepoint/v3" xmlns:ns2="7a18fb59-6384-4d1f-a4b7-d3ef553f0a72" xmlns:ns3="c55fed88-76c6-4953-8a37-90a616b3d5f8" targetNamespace="http://schemas.microsoft.com/office/2006/metadata/properties" ma:root="true" ma:fieldsID="48dce8e0b338cd6b7e362cc0a772cf7a" ns1:_="" ns2:_="" ns3:_="">
    <xsd:import namespace="http://schemas.microsoft.com/sharepoint/v3"/>
    <xsd:import namespace="7a18fb59-6384-4d1f-a4b7-d3ef553f0a72"/>
    <xsd:import namespace="c55fed88-76c6-4953-8a37-90a616b3d5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LInk" minOccurs="0"/>
                <xsd:element ref="ns2:Description0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8fb59-6384-4d1f-a4b7-d3ef553f0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5" nillable="true" ma:displayName="MediaServiceAutoTags" ma:internalName="MediaServiceAutoTags" ma:readOnly="true">
      <xsd:simpleType>
        <xsd:restriction base="dms:Text"/>
      </xsd:simpleType>
    </xsd:element>
    <xsd:element name="MediaServiceOCR" ma:index="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LInk" ma:index="18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escription0" ma:index="19" nillable="true" ma:displayName="Description" ma:format="Dropdown" ma:internalName="Description0">
      <xsd:simpleType>
        <xsd:restriction base="dms:Text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317faa2-88c4-40fa-807e-9b4f225656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fed88-76c6-4953-8a37-90a616b3d5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90276fd-89ca-42a9-af58-ffb3ae3a7bdb}" ma:internalName="TaxCatchAll" ma:showField="CatchAllData" ma:web="c55fed88-76c6-4953-8a37-90a616b3d5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MediaServiceOCR xmlns="7a18fb59-6384-4d1f-a4b7-d3ef553f0a72" xsi:nil="true"/>
    <lcf76f155ced4ddcb4097134ff3c332f xmlns="7a18fb59-6384-4d1f-a4b7-d3ef553f0a72">
      <Terms xmlns="http://schemas.microsoft.com/office/infopath/2007/PartnerControls"/>
    </lcf76f155ced4ddcb4097134ff3c332f>
    <_ip_UnifiedCompliancePolicyUIAction xmlns="http://schemas.microsoft.com/sharepoint/v3" xsi:nil="true"/>
    <TaxCatchAll xmlns="c55fed88-76c6-4953-8a37-90a616b3d5f8" xsi:nil="true"/>
    <_ip_UnifiedCompliancePolicyProperties xmlns="http://schemas.microsoft.com/sharepoint/v3" xsi:nil="true"/>
    <_Flow_SignoffStatus xmlns="7a18fb59-6384-4d1f-a4b7-d3ef553f0a72" xsi:nil="true"/>
    <LInk xmlns="7a18fb59-6384-4d1f-a4b7-d3ef553f0a72">
      <Url xsi:nil="true"/>
      <Description xsi:nil="true"/>
    </LInk>
    <Description0 xmlns="7a18fb59-6384-4d1f-a4b7-d3ef553f0a72" xsi:nil="true"/>
  </documentManagement>
</p:properties>
</file>

<file path=customXml/itemProps1.xml><?xml version="1.0" encoding="utf-8"?>
<ds:datastoreItem xmlns:ds="http://schemas.openxmlformats.org/officeDocument/2006/customXml" ds:itemID="{ED3115F1-88CA-4C82-A31E-18E4B5806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a18fb59-6384-4d1f-a4b7-d3ef553f0a72"/>
    <ds:schemaRef ds:uri="c55fed88-76c6-4953-8a37-90a616b3d5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71AF61-8078-443A-9E36-F78359BAF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F2B13A-0BD1-477C-92D4-53BC22E39C94}">
  <ds:schemaRefs>
    <ds:schemaRef ds:uri="http://purl.org/dc/elements/1.1/"/>
    <ds:schemaRef ds:uri="c55fed88-76c6-4953-8a37-90a616b3d5f8"/>
    <ds:schemaRef ds:uri="http://www.w3.org/XML/1998/namespace"/>
    <ds:schemaRef ds:uri="http://schemas.microsoft.com/office/2006/metadata/properties"/>
    <ds:schemaRef ds:uri="http://purl.org/dc/dcmitype/"/>
    <ds:schemaRef ds:uri="7a18fb59-6384-4d1f-a4b7-d3ef553f0a7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9aa188e-6252-4980-976e-6009d93b87f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Eclipse System Calculator</vt:lpstr>
      <vt:lpstr>Data</vt:lpstr>
      <vt:lpstr>PSU Option Button - Ignore</vt:lpstr>
      <vt:lpstr>'Eclipse System Calculator'!Print_Area</vt:lpstr>
    </vt:vector>
  </TitlesOfParts>
  <Company>Vitecgroup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Sean Cairns</cp:lastModifiedBy>
  <dcterms:created xsi:type="dcterms:W3CDTF">2007-03-15T14:25:25Z</dcterms:created>
  <dcterms:modified xsi:type="dcterms:W3CDTF">2025-05-06T11:43:43Z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0x01010006F135D8CD34B74694981A2272324EC9</vt:lpwstr>
  </property>
  <property fmtid="{D5CDD505-2E9C-101B-9397-08002B2CF9AE}" pid="3" name="FileLeafRef">
    <vt:lpwstr>Eclipse-HX System Power Calculator - Draft Including Jupiter.xlsx</vt:lpwstr>
  </property>
  <property fmtid="{D5CDD505-2E9C-101B-9397-08002B2CF9AE}" pid="4" name="MediaServiceImageTags">
    <vt:lpwstr/>
  </property>
</Properties>
</file>