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hmelectronics-my.sharepoint.com/personal/keythorsson_hme_com/Documents/Documents/_PM/Encore/PL Calculator/"/>
    </mc:Choice>
  </mc:AlternateContent>
  <xr:revisionPtr revIDLastSave="0" documentId="8_{5543ACB2-28FA-4E4C-8431-892BFC931FD2}" xr6:coauthVersionLast="47" xr6:coauthVersionMax="47" xr10:uidLastSave="{00000000-0000-0000-0000-000000000000}"/>
  <workbookProtection workbookAlgorithmName="SHA-512" workbookHashValue="YdPLVSV2aIp9k9vZOdxzPZRmlY/JDClCOFlRmr2dMrDMk0XtIW6dg/qjGRYJinJ2XKiXyYl28VHCZq2n/0zpog==" workbookSaltValue="T1g942YfabHMkE3gBFaSzg==" workbookSpinCount="100000" lockStructure="1"/>
  <bookViews>
    <workbookView xWindow="-28920" yWindow="8595" windowWidth="29040" windowHeight="15840" xr2:uid="{5526A372-3938-4584-A48E-FBFEC3EF0274}"/>
  </bookViews>
  <sheets>
    <sheet name="CC PL Estimator" sheetId="3" r:id="rId1"/>
    <sheet name="CC Legacy PL Estimator" sheetId="5" r:id="rId2"/>
    <sheet name="Instructions - Background" sheetId="7" r:id="rId3"/>
    <sheet name="Hidden Background Parameters" sheetId="2" state="hidden" r:id="rId4"/>
    <sheet name="HiddenCable Background Material" sheetId="8" state="hidden" r:id="rId5"/>
    <sheet name="HiddenCAP Calc" sheetId="9" state="hidden" r:id="rId6"/>
    <sheet name="HiddenVoltage Drop Calc" sheetId="10" state="hidden" r:id="rId7"/>
    <sheet name="Scratch Data" sheetId="4" state="hidden" r:id="rId8"/>
  </sheets>
  <definedNames>
    <definedName name="_xlnm.Print_Area" localSheetId="1">'CC Legacy PL Estimator'!$A$1:$O$142</definedName>
    <definedName name="_xlnm.Print_Area" localSheetId="0">'CC PL Estimator'!$B$1:$O$83</definedName>
    <definedName name="_xlnm.Print_Area" localSheetId="2">'Instructions - Background'!$A$1:$H$28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72" i="3" l="1"/>
  <c r="M45" i="5"/>
  <c r="H34" i="5"/>
  <c r="G34" i="5"/>
  <c r="K36" i="5"/>
  <c r="M36" i="5" s="1"/>
  <c r="K35" i="5"/>
  <c r="M35" i="5" s="1"/>
  <c r="S35" i="5"/>
  <c r="R35" i="5"/>
  <c r="H36" i="5"/>
  <c r="G36" i="5"/>
  <c r="S36" i="5"/>
  <c r="R36" i="5"/>
  <c r="H37" i="5"/>
  <c r="G37" i="5"/>
  <c r="H1" i="5"/>
  <c r="K35" i="3"/>
  <c r="M35" i="3" s="1"/>
  <c r="K36" i="3"/>
  <c r="M36" i="3" s="1"/>
  <c r="K40" i="3"/>
  <c r="H39" i="3"/>
  <c r="G39" i="3"/>
  <c r="H38" i="3"/>
  <c r="G38" i="3"/>
  <c r="S35" i="3"/>
  <c r="R35" i="3"/>
  <c r="H35" i="3"/>
  <c r="G35" i="3"/>
  <c r="S36" i="3"/>
  <c r="R36" i="3"/>
  <c r="H36" i="3"/>
  <c r="G36" i="3"/>
  <c r="M45" i="3"/>
  <c r="H1" i="3"/>
  <c r="G1" i="7"/>
  <c r="G49" i="3"/>
  <c r="J51" i="3" l="1"/>
  <c r="J71" i="3" s="1"/>
  <c r="J102" i="5"/>
  <c r="J125" i="5" s="1"/>
  <c r="G125" i="5"/>
  <c r="G127" i="5"/>
  <c r="G126" i="5"/>
  <c r="S38" i="5"/>
  <c r="S39" i="5"/>
  <c r="S40" i="5"/>
  <c r="S37" i="5"/>
  <c r="R38" i="5"/>
  <c r="R39" i="5"/>
  <c r="R40" i="5"/>
  <c r="R37" i="5"/>
  <c r="R44" i="5"/>
  <c r="S44" i="5"/>
  <c r="R43" i="3"/>
  <c r="S29" i="5"/>
  <c r="R29" i="5"/>
  <c r="S31" i="5"/>
  <c r="R31" i="5"/>
  <c r="R27" i="5"/>
  <c r="S27" i="5"/>
  <c r="R28" i="5"/>
  <c r="S28" i="5"/>
  <c r="R30" i="5"/>
  <c r="S30" i="5"/>
  <c r="S26" i="5"/>
  <c r="R26" i="5"/>
  <c r="R25" i="3"/>
  <c r="Q31" i="5"/>
  <c r="Q30" i="5"/>
  <c r="Q29" i="5"/>
  <c r="Q28" i="5"/>
  <c r="Q27" i="5"/>
  <c r="Q26" i="5"/>
  <c r="S37" i="3"/>
  <c r="S38" i="3"/>
  <c r="S39" i="3"/>
  <c r="S34" i="3"/>
  <c r="Q26" i="3"/>
  <c r="Q27" i="3"/>
  <c r="Q28" i="3"/>
  <c r="Q29" i="3"/>
  <c r="Q30" i="3"/>
  <c r="Q25" i="3"/>
  <c r="R39" i="3"/>
  <c r="R38" i="3"/>
  <c r="R37" i="3"/>
  <c r="R34" i="3"/>
  <c r="S43" i="3"/>
  <c r="S30" i="3"/>
  <c r="S29" i="3"/>
  <c r="S28" i="3"/>
  <c r="S27" i="3"/>
  <c r="S26" i="3"/>
  <c r="S25" i="3"/>
  <c r="R30" i="3"/>
  <c r="R29" i="3"/>
  <c r="R28" i="3"/>
  <c r="R27" i="3"/>
  <c r="R26" i="3"/>
  <c r="R46" i="3" l="1"/>
  <c r="F57" i="3"/>
  <c r="D62" i="10" l="1"/>
  <c r="C62" i="10"/>
  <c r="K60" i="10"/>
  <c r="L60" i="10" s="1"/>
  <c r="F60" i="10" s="1"/>
  <c r="G60" i="10" s="1"/>
  <c r="H60" i="10"/>
  <c r="K59" i="10"/>
  <c r="L59" i="10" s="1"/>
  <c r="F59" i="10" s="1"/>
  <c r="G59" i="10" s="1"/>
  <c r="H59" i="10"/>
  <c r="K58" i="10"/>
  <c r="L58" i="10" s="1"/>
  <c r="F58" i="10" s="1"/>
  <c r="G58" i="10" s="1"/>
  <c r="H58" i="10"/>
  <c r="K57" i="10"/>
  <c r="L57" i="10" s="1"/>
  <c r="F57" i="10" s="1"/>
  <c r="G57" i="10" s="1"/>
  <c r="H57" i="10"/>
  <c r="K56" i="10"/>
  <c r="L56" i="10" s="1"/>
  <c r="F56" i="10" s="1"/>
  <c r="G56" i="10" s="1"/>
  <c r="H56" i="10"/>
  <c r="K55" i="10"/>
  <c r="L55" i="10" s="1"/>
  <c r="F55" i="10" s="1"/>
  <c r="G55" i="10" s="1"/>
  <c r="H55" i="10"/>
  <c r="K54" i="10"/>
  <c r="L54" i="10" s="1"/>
  <c r="F54" i="10" s="1"/>
  <c r="G54" i="10" s="1"/>
  <c r="H54" i="10"/>
  <c r="K53" i="10"/>
  <c r="L53" i="10" s="1"/>
  <c r="F53" i="10" s="1"/>
  <c r="G53" i="10" s="1"/>
  <c r="H53" i="10"/>
  <c r="K52" i="10"/>
  <c r="L52" i="10" s="1"/>
  <c r="F52" i="10" s="1"/>
  <c r="G52" i="10" s="1"/>
  <c r="H52" i="10"/>
  <c r="K51" i="10"/>
  <c r="L51" i="10" s="1"/>
  <c r="F51" i="10" s="1"/>
  <c r="G51" i="10" s="1"/>
  <c r="H51" i="10"/>
  <c r="K50" i="10"/>
  <c r="L50" i="10" s="1"/>
  <c r="F50" i="10" s="1"/>
  <c r="G50" i="10" s="1"/>
  <c r="H50" i="10"/>
  <c r="K49" i="10"/>
  <c r="L49" i="10" s="1"/>
  <c r="F49" i="10" s="1"/>
  <c r="G49" i="10" s="1"/>
  <c r="H49" i="10"/>
  <c r="K48" i="10"/>
  <c r="L48" i="10" s="1"/>
  <c r="F48" i="10" s="1"/>
  <c r="G48" i="10" s="1"/>
  <c r="H48" i="10"/>
  <c r="K47" i="10"/>
  <c r="L47" i="10" s="1"/>
  <c r="F47" i="10" s="1"/>
  <c r="G47" i="10" s="1"/>
  <c r="H47" i="10"/>
  <c r="K46" i="10"/>
  <c r="L46" i="10" s="1"/>
  <c r="F46" i="10" s="1"/>
  <c r="G46" i="10" s="1"/>
  <c r="H46" i="10"/>
  <c r="K45" i="10"/>
  <c r="L45" i="10" s="1"/>
  <c r="F45" i="10" s="1"/>
  <c r="G45" i="10" s="1"/>
  <c r="H45" i="10"/>
  <c r="K44" i="10"/>
  <c r="L44" i="10" s="1"/>
  <c r="F44" i="10" s="1"/>
  <c r="G44" i="10" s="1"/>
  <c r="H44" i="10"/>
  <c r="K43" i="10"/>
  <c r="L43" i="10" s="1"/>
  <c r="F43" i="10" s="1"/>
  <c r="G43" i="10" s="1"/>
  <c r="H43" i="10"/>
  <c r="K42" i="10"/>
  <c r="L42" i="10" s="1"/>
  <c r="F42" i="10" s="1"/>
  <c r="G42" i="10" s="1"/>
  <c r="H42" i="10"/>
  <c r="K41" i="10"/>
  <c r="L41" i="10" s="1"/>
  <c r="F41" i="10" s="1"/>
  <c r="G41" i="10" s="1"/>
  <c r="H41" i="10"/>
  <c r="K40" i="10"/>
  <c r="L40" i="10" s="1"/>
  <c r="F40" i="10" s="1"/>
  <c r="G40" i="10" s="1"/>
  <c r="H40" i="10"/>
  <c r="K39" i="10"/>
  <c r="L39" i="10" s="1"/>
  <c r="F39" i="10" s="1"/>
  <c r="G39" i="10" s="1"/>
  <c r="H39" i="10"/>
  <c r="K38" i="10"/>
  <c r="L38" i="10" s="1"/>
  <c r="F38" i="10" s="1"/>
  <c r="G38" i="10" s="1"/>
  <c r="H38" i="10"/>
  <c r="K37" i="10"/>
  <c r="L37" i="10" s="1"/>
  <c r="F37" i="10" s="1"/>
  <c r="G37" i="10" s="1"/>
  <c r="H37" i="10"/>
  <c r="K36" i="10"/>
  <c r="L36" i="10" s="1"/>
  <c r="F36" i="10" s="1"/>
  <c r="G36" i="10" s="1"/>
  <c r="H36" i="10"/>
  <c r="K35" i="10"/>
  <c r="L35" i="10" s="1"/>
  <c r="F35" i="10" s="1"/>
  <c r="G35" i="10" s="1"/>
  <c r="H35" i="10"/>
  <c r="K34" i="10"/>
  <c r="L34" i="10" s="1"/>
  <c r="F34" i="10" s="1"/>
  <c r="G34" i="10" s="1"/>
  <c r="H34" i="10"/>
  <c r="K33" i="10"/>
  <c r="L33" i="10" s="1"/>
  <c r="F33" i="10" s="1"/>
  <c r="G33" i="10" s="1"/>
  <c r="H33" i="10"/>
  <c r="K32" i="10"/>
  <c r="L32" i="10" s="1"/>
  <c r="F32" i="10" s="1"/>
  <c r="G32" i="10" s="1"/>
  <c r="H32" i="10"/>
  <c r="K31" i="10"/>
  <c r="L31" i="10" s="1"/>
  <c r="F31" i="10" s="1"/>
  <c r="G31" i="10" s="1"/>
  <c r="H31" i="10"/>
  <c r="K30" i="10"/>
  <c r="L30" i="10" s="1"/>
  <c r="F30" i="10" s="1"/>
  <c r="G30" i="10" s="1"/>
  <c r="H30" i="10"/>
  <c r="B30" i="10"/>
  <c r="B31" i="10" s="1"/>
  <c r="B32" i="10" s="1"/>
  <c r="B33" i="10" s="1"/>
  <c r="B34" i="10" s="1"/>
  <c r="B35" i="10" s="1"/>
  <c r="B36" i="10" s="1"/>
  <c r="B37" i="10" s="1"/>
  <c r="B38" i="10" s="1"/>
  <c r="B39" i="10" s="1"/>
  <c r="B40" i="10" s="1"/>
  <c r="B41" i="10" s="1"/>
  <c r="B42" i="10" s="1"/>
  <c r="B43" i="10" s="1"/>
  <c r="B44" i="10" s="1"/>
  <c r="B45" i="10" s="1"/>
  <c r="B46" i="10" s="1"/>
  <c r="B47" i="10" s="1"/>
  <c r="B48" i="10" s="1"/>
  <c r="B49" i="10" s="1"/>
  <c r="B50" i="10" s="1"/>
  <c r="B51" i="10" s="1"/>
  <c r="B52" i="10" s="1"/>
  <c r="B53" i="10" s="1"/>
  <c r="B54" i="10" s="1"/>
  <c r="B55" i="10" s="1"/>
  <c r="B56" i="10" s="1"/>
  <c r="B57" i="10" s="1"/>
  <c r="B58" i="10" s="1"/>
  <c r="B59" i="10" s="1"/>
  <c r="B60" i="10" s="1"/>
  <c r="K29" i="10"/>
  <c r="L29" i="10" s="1"/>
  <c r="F29" i="10" s="1"/>
  <c r="G29" i="10" s="1"/>
  <c r="H29" i="10"/>
  <c r="I28" i="10" s="1"/>
  <c r="C22" i="10"/>
  <c r="D22" i="10" l="1"/>
  <c r="F62" i="10"/>
  <c r="J28" i="10"/>
  <c r="I29" i="10"/>
  <c r="J29" i="10" l="1"/>
  <c r="I30" i="10"/>
  <c r="J30" i="10" l="1"/>
  <c r="I31" i="10"/>
  <c r="J31" i="10" l="1"/>
  <c r="I32" i="10"/>
  <c r="J32" i="10" l="1"/>
  <c r="I33" i="10"/>
  <c r="J33" i="10" l="1"/>
  <c r="I34" i="10"/>
  <c r="J34" i="10" l="1"/>
  <c r="I35" i="10"/>
  <c r="J35" i="10" l="1"/>
  <c r="I36" i="10"/>
  <c r="J36" i="10" l="1"/>
  <c r="I37" i="10"/>
  <c r="J37" i="10" l="1"/>
  <c r="I38" i="10"/>
  <c r="J38" i="10" l="1"/>
  <c r="I39" i="10"/>
  <c r="J39" i="10" l="1"/>
  <c r="I40" i="10"/>
  <c r="J40" i="10" l="1"/>
  <c r="I41" i="10"/>
  <c r="J41" i="10" l="1"/>
  <c r="I42" i="10"/>
  <c r="J42" i="10" l="1"/>
  <c r="I43" i="10"/>
  <c r="J43" i="10" l="1"/>
  <c r="I44" i="10"/>
  <c r="J44" i="10" l="1"/>
  <c r="I45" i="10"/>
  <c r="J45" i="10" l="1"/>
  <c r="I46" i="10"/>
  <c r="J46" i="10" l="1"/>
  <c r="I47" i="10"/>
  <c r="J47" i="10" l="1"/>
  <c r="I48" i="10"/>
  <c r="J48" i="10" l="1"/>
  <c r="I49" i="10"/>
  <c r="J49" i="10" l="1"/>
  <c r="I50" i="10"/>
  <c r="J50" i="10" l="1"/>
  <c r="I51" i="10"/>
  <c r="J51" i="10" l="1"/>
  <c r="I52" i="10"/>
  <c r="J52" i="10" l="1"/>
  <c r="I53" i="10"/>
  <c r="J53" i="10" l="1"/>
  <c r="I54" i="10"/>
  <c r="J54" i="10" l="1"/>
  <c r="I55" i="10"/>
  <c r="J55" i="10" l="1"/>
  <c r="I56" i="10"/>
  <c r="J56" i="10" l="1"/>
  <c r="I57" i="10"/>
  <c r="J57" i="10" l="1"/>
  <c r="I58" i="10"/>
  <c r="J58" i="10" l="1"/>
  <c r="I59" i="10"/>
  <c r="J59" i="10" l="1"/>
  <c r="I60" i="10"/>
  <c r="F22" i="10" l="1"/>
  <c r="G62" i="10"/>
  <c r="K37" i="9" l="1"/>
  <c r="G37" i="9"/>
  <c r="C37" i="9"/>
  <c r="D39" i="9" s="1"/>
  <c r="C13" i="9"/>
  <c r="C7" i="9"/>
  <c r="A16" i="9" s="1"/>
  <c r="A10" i="9" l="1"/>
  <c r="Q16" i="8"/>
  <c r="Q17" i="8"/>
  <c r="Q18" i="8"/>
  <c r="S10" i="8" s="1"/>
  <c r="Q19" i="8"/>
  <c r="Q20" i="8"/>
  <c r="Q21" i="8"/>
  <c r="Q22" i="8"/>
  <c r="Q23" i="8"/>
  <c r="Q24" i="8"/>
  <c r="Q25" i="8"/>
  <c r="Q26" i="8"/>
  <c r="Q27" i="8"/>
  <c r="Q15" i="8"/>
  <c r="R16" i="8"/>
  <c r="R17" i="8"/>
  <c r="R18" i="8"/>
  <c r="R19" i="8"/>
  <c r="R20" i="8"/>
  <c r="R21" i="8"/>
  <c r="R22" i="8"/>
  <c r="R23" i="8"/>
  <c r="R24" i="8"/>
  <c r="R25" i="8"/>
  <c r="R26" i="8"/>
  <c r="R27" i="8"/>
  <c r="R15" i="8"/>
  <c r="W22" i="8"/>
  <c r="V15" i="8"/>
  <c r="W15" i="8" s="1"/>
  <c r="V16" i="8"/>
  <c r="W16" i="8" s="1"/>
  <c r="V18" i="8"/>
  <c r="W18" i="8" s="1"/>
  <c r="V19" i="8"/>
  <c r="W19" i="8" s="1"/>
  <c r="V20" i="8"/>
  <c r="W20" i="8" s="1"/>
  <c r="V21" i="8"/>
  <c r="W21" i="8" s="1"/>
  <c r="V22" i="8"/>
  <c r="V23" i="8"/>
  <c r="W23" i="8" s="1"/>
  <c r="V24" i="8"/>
  <c r="W24" i="8" s="1"/>
  <c r="V25" i="8"/>
  <c r="W25" i="8" s="1"/>
  <c r="V26" i="8"/>
  <c r="W26" i="8" s="1"/>
  <c r="V27" i="8"/>
  <c r="W27" i="8" s="1"/>
  <c r="V17" i="8"/>
  <c r="W17" i="8" s="1"/>
  <c r="H115" i="5"/>
  <c r="G115" i="5"/>
  <c r="H108" i="5"/>
  <c r="G108" i="5"/>
  <c r="H103" i="5"/>
  <c r="G103" i="5"/>
  <c r="H119" i="5" l="1"/>
  <c r="G119" i="5"/>
  <c r="H118" i="5"/>
  <c r="G118" i="5"/>
  <c r="H87" i="5"/>
  <c r="G87" i="5"/>
  <c r="M80" i="5"/>
  <c r="M71" i="5"/>
  <c r="M69" i="5"/>
  <c r="M38" i="3" l="1"/>
  <c r="M39" i="3"/>
  <c r="M96" i="5"/>
  <c r="M97" i="5"/>
  <c r="M95" i="5"/>
  <c r="M88" i="5"/>
  <c r="M89" i="5"/>
  <c r="M90" i="5"/>
  <c r="M91" i="5"/>
  <c r="M92" i="5"/>
  <c r="M87" i="5"/>
  <c r="M65" i="5"/>
  <c r="M66" i="5"/>
  <c r="M67" i="5"/>
  <c r="M68" i="5"/>
  <c r="M70" i="5"/>
  <c r="M72" i="5"/>
  <c r="M73" i="5"/>
  <c r="M74" i="5"/>
  <c r="M75" i="5"/>
  <c r="M55" i="5"/>
  <c r="M77" i="5"/>
  <c r="M79" i="5"/>
  <c r="M64" i="5"/>
  <c r="M53" i="5"/>
  <c r="M54" i="5"/>
  <c r="M56" i="5"/>
  <c r="M38" i="5"/>
  <c r="M39" i="5"/>
  <c r="J124" i="5" l="1"/>
  <c r="H125" i="5"/>
  <c r="H127" i="5"/>
  <c r="H126" i="5"/>
  <c r="G113" i="5"/>
  <c r="H113" i="5"/>
  <c r="G68" i="5"/>
  <c r="H68" i="5"/>
  <c r="G97" i="5"/>
  <c r="H97" i="5"/>
  <c r="G98" i="5"/>
  <c r="H98" i="5"/>
  <c r="G99" i="5"/>
  <c r="H99" i="5"/>
  <c r="G96" i="5"/>
  <c r="H96" i="5"/>
  <c r="G84" i="5"/>
  <c r="H84" i="5"/>
  <c r="G27" i="3"/>
  <c r="H27" i="3"/>
  <c r="H57" i="5"/>
  <c r="G57" i="5"/>
  <c r="K30" i="3"/>
  <c r="M30" i="3" s="1"/>
  <c r="K29" i="3"/>
  <c r="M29" i="3" s="1"/>
  <c r="K30" i="5"/>
  <c r="M30" i="5" s="1"/>
  <c r="K29" i="5"/>
  <c r="M29" i="5" s="1"/>
  <c r="H95" i="5"/>
  <c r="G95" i="5"/>
  <c r="H40" i="3"/>
  <c r="G40" i="3"/>
  <c r="H38" i="5"/>
  <c r="G38" i="5"/>
  <c r="H105" i="5"/>
  <c r="G105" i="5"/>
  <c r="H88" i="5"/>
  <c r="G88" i="5"/>
  <c r="H117" i="5"/>
  <c r="G117" i="5"/>
  <c r="H101" i="5"/>
  <c r="G101" i="5"/>
  <c r="H45" i="3"/>
  <c r="G45" i="3"/>
  <c r="H37" i="3"/>
  <c r="G37" i="3"/>
  <c r="H43" i="5"/>
  <c r="G43" i="5"/>
  <c r="H35" i="5"/>
  <c r="G35" i="5"/>
  <c r="G52" i="5"/>
  <c r="H52" i="5"/>
  <c r="G53" i="5"/>
  <c r="H53" i="5"/>
  <c r="G54" i="5"/>
  <c r="H54" i="5"/>
  <c r="H40" i="5" l="1"/>
  <c r="G40" i="5"/>
  <c r="H39" i="5"/>
  <c r="G39" i="5"/>
  <c r="M83" i="5"/>
  <c r="M82" i="5"/>
  <c r="M60" i="5"/>
  <c r="M44" i="5"/>
  <c r="H42" i="3"/>
  <c r="G42" i="3"/>
  <c r="H41" i="3"/>
  <c r="G41" i="3"/>
  <c r="K78" i="5"/>
  <c r="M78" i="5" s="1"/>
  <c r="K76" i="5"/>
  <c r="M76" i="5" s="1"/>
  <c r="K58" i="5"/>
  <c r="M58" i="5" s="1"/>
  <c r="K57" i="5"/>
  <c r="M57" i="5" s="1"/>
  <c r="K51" i="5"/>
  <c r="M51" i="5" s="1"/>
  <c r="K52" i="5"/>
  <c r="M52" i="5" s="1"/>
  <c r="K50" i="5"/>
  <c r="M50" i="5" s="1"/>
  <c r="F129" i="5"/>
  <c r="H75" i="5"/>
  <c r="G75" i="5"/>
  <c r="H74" i="5"/>
  <c r="G74" i="5"/>
  <c r="H73" i="5"/>
  <c r="G73" i="5"/>
  <c r="H72" i="5"/>
  <c r="G72" i="5"/>
  <c r="H71" i="5"/>
  <c r="G71" i="5"/>
  <c r="H70" i="5"/>
  <c r="G70" i="5"/>
  <c r="H69" i="5"/>
  <c r="G69" i="5"/>
  <c r="H67" i="5"/>
  <c r="G67" i="5"/>
  <c r="H66" i="5"/>
  <c r="G66" i="5"/>
  <c r="H65" i="5"/>
  <c r="G65" i="5"/>
  <c r="H64" i="5"/>
  <c r="G64" i="5"/>
  <c r="H92" i="5"/>
  <c r="G92" i="5"/>
  <c r="H63" i="5"/>
  <c r="G63" i="5"/>
  <c r="H62" i="5"/>
  <c r="G62" i="5"/>
  <c r="H61" i="5"/>
  <c r="G61" i="5"/>
  <c r="H60" i="5"/>
  <c r="G60" i="5"/>
  <c r="H59" i="5"/>
  <c r="G59" i="5"/>
  <c r="H58" i="5"/>
  <c r="G58" i="5"/>
  <c r="H83" i="5"/>
  <c r="G83" i="5"/>
  <c r="H56" i="5"/>
  <c r="G56" i="5"/>
  <c r="H110" i="5"/>
  <c r="G110" i="5"/>
  <c r="H80" i="5"/>
  <c r="G80" i="5"/>
  <c r="H49" i="5"/>
  <c r="G49" i="5"/>
  <c r="H79" i="5"/>
  <c r="G79" i="5"/>
  <c r="H78" i="5"/>
  <c r="G78" i="5"/>
  <c r="H107" i="5"/>
  <c r="G107" i="5"/>
  <c r="H106" i="5"/>
  <c r="G106" i="5"/>
  <c r="H104" i="5"/>
  <c r="G104" i="5"/>
  <c r="H77" i="5"/>
  <c r="G77" i="5"/>
  <c r="H100" i="5"/>
  <c r="G100" i="5"/>
  <c r="H94" i="5"/>
  <c r="G94" i="5"/>
  <c r="H93" i="5"/>
  <c r="G93" i="5"/>
  <c r="H91" i="5"/>
  <c r="G91" i="5"/>
  <c r="H90" i="5"/>
  <c r="G90" i="5"/>
  <c r="H89" i="5"/>
  <c r="G89" i="5"/>
  <c r="H116" i="5"/>
  <c r="G116" i="5"/>
  <c r="H50" i="5"/>
  <c r="G50" i="5"/>
  <c r="H86" i="5"/>
  <c r="G86" i="5"/>
  <c r="H85" i="5"/>
  <c r="G85" i="5"/>
  <c r="H82" i="5"/>
  <c r="G82" i="5"/>
  <c r="H109" i="5"/>
  <c r="G109" i="5"/>
  <c r="H123" i="5"/>
  <c r="G123" i="5"/>
  <c r="H122" i="5"/>
  <c r="G122" i="5"/>
  <c r="H102" i="5"/>
  <c r="G102" i="5"/>
  <c r="H121" i="5"/>
  <c r="G121" i="5"/>
  <c r="H120" i="5"/>
  <c r="G120" i="5"/>
  <c r="H114" i="5"/>
  <c r="G114" i="5"/>
  <c r="H112" i="5"/>
  <c r="G112" i="5"/>
  <c r="H26" i="3"/>
  <c r="G26" i="3"/>
  <c r="C132" i="5"/>
  <c r="H47" i="5"/>
  <c r="G47" i="5"/>
  <c r="H46" i="5"/>
  <c r="G46" i="5"/>
  <c r="H45" i="5"/>
  <c r="G45" i="5"/>
  <c r="H44" i="5"/>
  <c r="G44" i="5"/>
  <c r="K40" i="5"/>
  <c r="M40" i="5" s="1"/>
  <c r="H42" i="5"/>
  <c r="G42" i="5"/>
  <c r="H33" i="5"/>
  <c r="G33" i="5"/>
  <c r="K37" i="5"/>
  <c r="M37" i="5" s="1"/>
  <c r="H32" i="5"/>
  <c r="G32" i="5"/>
  <c r="H31" i="5"/>
  <c r="G31" i="5"/>
  <c r="H30" i="5"/>
  <c r="G30" i="5"/>
  <c r="H29" i="5"/>
  <c r="G29" i="5"/>
  <c r="K31" i="5"/>
  <c r="M31" i="5" s="1"/>
  <c r="H28" i="5"/>
  <c r="G28" i="5"/>
  <c r="K28" i="5"/>
  <c r="M28" i="5" s="1"/>
  <c r="H27" i="5"/>
  <c r="G27" i="5"/>
  <c r="K27" i="5"/>
  <c r="M27" i="5" s="1"/>
  <c r="H26" i="5"/>
  <c r="G26" i="5"/>
  <c r="K26" i="5"/>
  <c r="M26" i="5" s="1"/>
  <c r="L25" i="5"/>
  <c r="H24" i="5"/>
  <c r="G24" i="5"/>
  <c r="H23" i="5"/>
  <c r="G23" i="5"/>
  <c r="H22" i="5"/>
  <c r="G22" i="5"/>
  <c r="H21" i="5"/>
  <c r="G21" i="5"/>
  <c r="H20" i="5"/>
  <c r="G20" i="5"/>
  <c r="H19" i="5"/>
  <c r="G19" i="5"/>
  <c r="J18" i="5"/>
  <c r="H18" i="5"/>
  <c r="G18" i="5"/>
  <c r="J17" i="5"/>
  <c r="H17" i="5"/>
  <c r="G17" i="5"/>
  <c r="H16" i="5"/>
  <c r="G16" i="5"/>
  <c r="H15" i="5"/>
  <c r="G15" i="5"/>
  <c r="M40" i="3"/>
  <c r="K37" i="3"/>
  <c r="M37" i="3" s="1"/>
  <c r="K27" i="3"/>
  <c r="M27" i="3" s="1"/>
  <c r="K28" i="3"/>
  <c r="M28" i="3" s="1"/>
  <c r="K31" i="3"/>
  <c r="M31" i="3" s="1"/>
  <c r="K26" i="3"/>
  <c r="M26" i="3" s="1"/>
  <c r="G129" i="5" l="1"/>
  <c r="G130" i="5" s="1"/>
  <c r="R98" i="5" s="1"/>
  <c r="H129" i="5"/>
  <c r="H130" i="5" s="1"/>
  <c r="S98" i="5" s="1"/>
  <c r="S97" i="5"/>
  <c r="R97" i="5"/>
  <c r="S46" i="3"/>
  <c r="M102" i="5"/>
  <c r="J122" i="5" l="1"/>
  <c r="M130" i="5" a="1"/>
  <c r="M130" i="5" s="1"/>
  <c r="M131" i="5" s="1"/>
  <c r="N130" i="5" a="1"/>
  <c r="N130" i="5" s="1"/>
  <c r="N102" i="5"/>
  <c r="C133" i="5"/>
  <c r="M103" i="5"/>
  <c r="M104" i="5" s="1"/>
  <c r="J123" i="5" s="1"/>
  <c r="M133" i="5" l="1"/>
  <c r="N135" i="5"/>
  <c r="M135" i="5"/>
  <c r="N131" i="5"/>
  <c r="O104" i="5"/>
  <c r="N134" i="5"/>
  <c r="M134" i="5"/>
  <c r="N133" i="5"/>
  <c r="L104" i="5"/>
  <c r="M44" i="3"/>
  <c r="M51" i="3" s="1"/>
  <c r="L25" i="3"/>
  <c r="J18" i="3"/>
  <c r="J17" i="3" l="1"/>
  <c r="H55" i="3"/>
  <c r="G55" i="3"/>
  <c r="H54" i="3"/>
  <c r="G54" i="3"/>
  <c r="H53" i="3"/>
  <c r="G53" i="3"/>
  <c r="H52" i="3"/>
  <c r="G52" i="3"/>
  <c r="H51" i="3"/>
  <c r="G51" i="3"/>
  <c r="H49" i="3"/>
  <c r="H48" i="3"/>
  <c r="G48" i="3"/>
  <c r="H47" i="3"/>
  <c r="G47" i="3"/>
  <c r="H46" i="3"/>
  <c r="G46" i="3"/>
  <c r="H44" i="3"/>
  <c r="G44" i="3"/>
  <c r="H34" i="3"/>
  <c r="G34" i="3"/>
  <c r="H33" i="3"/>
  <c r="G33" i="3"/>
  <c r="H32" i="3"/>
  <c r="G32" i="3"/>
  <c r="H31" i="3"/>
  <c r="G31" i="3"/>
  <c r="H30" i="3"/>
  <c r="G30" i="3"/>
  <c r="H29" i="3"/>
  <c r="G29" i="3"/>
  <c r="H28" i="3"/>
  <c r="G28" i="3"/>
  <c r="H24" i="3"/>
  <c r="G24" i="3"/>
  <c r="H23" i="3"/>
  <c r="G23" i="3"/>
  <c r="H22" i="3"/>
  <c r="G22" i="3"/>
  <c r="H21" i="3"/>
  <c r="G21" i="3"/>
  <c r="H20" i="3"/>
  <c r="G20" i="3"/>
  <c r="H19" i="3"/>
  <c r="G19" i="3"/>
  <c r="H18" i="3"/>
  <c r="G18" i="3"/>
  <c r="H17" i="3"/>
  <c r="G17" i="3"/>
  <c r="H16" i="3"/>
  <c r="G16" i="3"/>
  <c r="H15" i="3"/>
  <c r="G15" i="3"/>
  <c r="H57" i="3" l="1"/>
  <c r="M52" i="3" s="1"/>
  <c r="G57" i="3"/>
  <c r="G58" i="3" s="1"/>
  <c r="R47" i="3" s="1"/>
  <c r="M77" i="3" s="1"/>
  <c r="H58" i="3" l="1"/>
  <c r="S47" i="3" s="1"/>
  <c r="N77" i="3" s="1"/>
  <c r="N80" i="3" s="1"/>
  <c r="J69" i="3"/>
  <c r="M80" i="3"/>
  <c r="M81" i="3"/>
  <c r="M78" i="3"/>
  <c r="M82" i="3"/>
  <c r="C61" i="3"/>
  <c r="C60" i="3"/>
  <c r="N78" i="3" l="1"/>
  <c r="N82" i="3"/>
  <c r="N81" i="3"/>
  <c r="M53" i="3"/>
  <c r="O53" i="3" l="1"/>
  <c r="J70" i="3"/>
  <c r="L5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Clearcom</author>
  </authors>
  <commentList>
    <comment ref="E16" authorId="0" shapeId="0" xr:uid="{A0748A5B-FFCB-4987-B0DD-6A20073AF213}">
      <text>
        <r>
          <rPr>
            <b/>
            <sz val="8"/>
            <color indexed="81"/>
            <rFont val="Tahoma"/>
            <family val="2"/>
          </rPr>
          <t>Boxes with red triangle in upper left corner
have comments</t>
        </r>
      </text>
    </comment>
    <comment ref="C22" authorId="0" shapeId="0" xr:uid="{906CD2CF-0C9F-4D53-A03F-B72C043EB8CB}">
      <text>
        <r>
          <rPr>
            <b/>
            <sz val="8"/>
            <color indexed="81"/>
            <rFont val="Tahoma"/>
            <family val="2"/>
          </rPr>
          <t>Sum of Distances</t>
        </r>
      </text>
    </comment>
    <comment ref="E22" authorId="0" shapeId="0" xr:uid="{4817DCD1-1322-468F-ACBA-8C9EB865DA57}">
      <text>
        <r>
          <rPr>
            <b/>
            <sz val="8"/>
            <color indexed="81"/>
            <rFont val="Tahoma"/>
            <family val="2"/>
          </rPr>
          <t>Product of # of Beltpacks and Current per Beltpack</t>
        </r>
      </text>
    </comment>
    <comment ref="F22" authorId="0" shapeId="0" xr:uid="{BEE27124-F974-4FAD-B6E6-100F4089BB57}">
      <text>
        <r>
          <rPr>
            <b/>
            <sz val="8"/>
            <color indexed="81"/>
            <rFont val="Tahoma"/>
            <family val="2"/>
          </rPr>
          <t>Total System Voltage Drop at farthest drop</t>
        </r>
      </text>
    </comment>
    <comment ref="E25" authorId="0" shapeId="0" xr:uid="{BDF8AA0E-CFB2-45EB-86EF-B8C3EB07F522}">
      <text>
        <r>
          <rPr>
            <b/>
            <sz val="8"/>
            <color indexed="81"/>
            <rFont val="Tahoma"/>
            <family val="2"/>
          </rPr>
          <t>Maximum Current of one Beltpack</t>
        </r>
      </text>
    </comment>
    <comment ref="C27" authorId="0" shapeId="0" xr:uid="{34803EB5-9EEB-4977-AFDF-611AC5E3B8E5}">
      <text>
        <r>
          <rPr>
            <b/>
            <sz val="8"/>
            <color indexed="81"/>
            <rFont val="Tahoma"/>
            <family val="2"/>
          </rPr>
          <t>Distance from previous Drop</t>
        </r>
      </text>
    </comment>
    <comment ref="D27" authorId="0" shapeId="0" xr:uid="{9668A9AE-650A-4BB6-BF52-6B76BA09F528}">
      <text>
        <r>
          <rPr>
            <b/>
            <sz val="8"/>
            <color indexed="81"/>
            <rFont val="Tahoma"/>
            <family val="2"/>
          </rPr>
          <t>Number of Beltpacks at this location</t>
        </r>
      </text>
    </comment>
    <comment ref="E27" authorId="0" shapeId="0" xr:uid="{13EA0139-5C77-41FC-96A9-928250BB216C}">
      <text>
        <r>
          <rPr>
            <b/>
            <sz val="8"/>
            <color indexed="81"/>
            <rFont val="Tahoma"/>
            <family val="2"/>
          </rPr>
          <t>Wire Size</t>
        </r>
      </text>
    </comment>
    <comment ref="F27" authorId="0" shapeId="0" xr:uid="{33DE0A32-C08A-46F7-AD9B-8572A2389FA0}">
      <text>
        <r>
          <rPr>
            <b/>
            <sz val="8"/>
            <color indexed="81"/>
            <rFont val="Tahoma"/>
            <family val="2"/>
          </rPr>
          <t>Wire resistance from AWG in Wire Chart above</t>
        </r>
      </text>
    </comment>
    <comment ref="G27" authorId="0" shapeId="0" xr:uid="{C68A5B0E-DD50-45FF-B60A-2F3EE4B4FC39}">
      <text>
        <r>
          <rPr>
            <b/>
            <sz val="8"/>
            <color indexed="81"/>
            <rFont val="Tahoma"/>
            <family val="2"/>
          </rPr>
          <t>Distance/1000 X Wire resistance X 2</t>
        </r>
      </text>
    </comment>
    <comment ref="H27" authorId="0" shapeId="0" xr:uid="{4B902D27-2F85-4B0A-A6DB-00CC5D1CF071}">
      <text>
        <r>
          <rPr>
            <b/>
            <sz val="8"/>
            <color indexed="81"/>
            <rFont val="Tahoma"/>
            <family val="2"/>
          </rPr>
          <t>Number of Beltpacks X Beltpack Current</t>
        </r>
      </text>
    </comment>
    <comment ref="I27" authorId="0" shapeId="0" xr:uid="{B0BFE420-434B-487C-BE79-67C3D1594A82}">
      <text>
        <r>
          <rPr>
            <b/>
            <sz val="8"/>
            <color indexed="81"/>
            <rFont val="Tahoma"/>
            <family val="2"/>
          </rPr>
          <t>Total Current - Downstream Current</t>
        </r>
      </text>
    </comment>
    <comment ref="J27" authorId="0" shapeId="0" xr:uid="{DC234240-FD27-407C-B4B6-49FE2B48FD88}">
      <text>
        <r>
          <rPr>
            <b/>
            <sz val="8"/>
            <color indexed="81"/>
            <rFont val="Tahoma"/>
            <family val="2"/>
          </rPr>
          <t>Wire Resistance X Current-Line</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<sst xmlns="http://schemas.openxmlformats.org/spreadsheetml/2006/main" count="1276" uniqueCount="417">
  <si>
    <t>Introduction:</t>
  </si>
  <si>
    <t>Resource Links:</t>
  </si>
  <si>
    <t>Encore Partyline System Quick Start Guide</t>
  </si>
  <si>
    <t>Clear-Com Solution finder</t>
  </si>
  <si>
    <t>Encore Installation Manual</t>
  </si>
  <si>
    <t>Comprehensive Guide to Partyline Systems</t>
  </si>
  <si>
    <t>Support Requests</t>
  </si>
  <si>
    <t>STEP 1 - Determine System Power Requirements</t>
  </si>
  <si>
    <t>STEP 2 - Determine System Design and Goals</t>
  </si>
  <si>
    <t>Station power needs range dynamically from Idle to Max depending on talk/call activity.</t>
  </si>
  <si>
    <t>Encore
User Stations</t>
  </si>
  <si>
    <t>Idle (A)</t>
  </si>
  <si>
    <t>Max (A)</t>
  </si>
  <si>
    <t>QTY</t>
  </si>
  <si>
    <t>Total
Idle (A)</t>
  </si>
  <si>
    <t>Total
Max (A)</t>
  </si>
  <si>
    <t xml:space="preserve">Select 
Power
Headroom    </t>
  </si>
  <si>
    <t>Normal</t>
  </si>
  <si>
    <t>RS-701/801-IM</t>
  </si>
  <si>
    <t>Please read these notes:</t>
  </si>
  <si>
    <t>RS-703</t>
  </si>
  <si>
    <t>RM-702/802-IM</t>
  </si>
  <si>
    <t>RM-704</t>
  </si>
  <si>
    <t>KB-701</t>
  </si>
  <si>
    <t>STEP 3 - Determine Appropriate System Power Budget</t>
  </si>
  <si>
    <t>KB-702</t>
  </si>
  <si>
    <t>Peak</t>
  </si>
  <si>
    <t>Power</t>
  </si>
  <si>
    <t>HB-702</t>
  </si>
  <si>
    <t>(A)</t>
  </si>
  <si>
    <t>Budget (A)</t>
  </si>
  <si>
    <t>HB-704</t>
  </si>
  <si>
    <t>PK-7</t>
  </si>
  <si>
    <t>Interfaces</t>
  </si>
  <si>
    <t>EF-701M</t>
  </si>
  <si>
    <t>IF-4W4</t>
  </si>
  <si>
    <t>FL-7</t>
  </si>
  <si>
    <t>MT-701</t>
  </si>
  <si>
    <t>CS-702</t>
  </si>
  <si>
    <t>RCS-2700</t>
  </si>
  <si>
    <t>TW-12C</t>
  </si>
  <si>
    <t>TW-47</t>
  </si>
  <si>
    <t>SB-704</t>
  </si>
  <si>
    <t>TWC-701</t>
  </si>
  <si>
    <t>IFB System</t>
  </si>
  <si>
    <t>PIC-4744</t>
  </si>
  <si>
    <t>MA-704</t>
  </si>
  <si>
    <t>FSII-BASE-II</t>
  </si>
  <si>
    <t>AX-704</t>
  </si>
  <si>
    <t>LQ 2-Wire on PoE</t>
  </si>
  <si>
    <t>TR-50</t>
  </si>
  <si>
    <t>LQ 2-Wire on PSU</t>
  </si>
  <si>
    <t>AB-120</t>
  </si>
  <si>
    <t>LQ-R 2-Wire</t>
  </si>
  <si>
    <t>SMQ-1</t>
  </si>
  <si>
    <t>DMQ-1</t>
  </si>
  <si>
    <t>RS-100A</t>
  </si>
  <si>
    <t>RS-201</t>
  </si>
  <si>
    <t>RS-501</t>
  </si>
  <si>
    <t>RS-601</t>
  </si>
  <si>
    <t>Total</t>
  </si>
  <si>
    <t>STEP 4 - Cabling Recommendations</t>
  </si>
  <si>
    <t>Cabling is a critical part of any Analog Partyline Intercom system.</t>
  </si>
  <si>
    <t>Clear-Com recommends using high-quality cabling, selected with the following in mind:</t>
  </si>
  <si>
    <t xml:space="preserve">• Cable Resistance: Low cable resistance for optimal power distribution. 22-18 AWG </t>
  </si>
  <si>
    <t>• Cable Capacitance: Low cable capacitance for best audio and call signal performance.</t>
  </si>
  <si>
    <t>• Cable Shielding: Use cables with quality shielding to minimize crosstalk / interference.</t>
  </si>
  <si>
    <r>
      <t xml:space="preserve">….....AND </t>
    </r>
    <r>
      <rPr>
        <b/>
        <sz val="11"/>
        <color theme="1"/>
        <rFont val="Calibri"/>
        <family val="2"/>
        <scheme val="minor"/>
      </rPr>
      <t>REMEMBER</t>
    </r>
    <r>
      <rPr>
        <sz val="11"/>
        <color theme="1"/>
        <rFont val="Calibri"/>
        <family val="2"/>
        <scheme val="minor"/>
      </rPr>
      <t xml:space="preserve"> -&gt; EACH CHANNEL IS TO BE TERMINATED </t>
    </r>
    <r>
      <rPr>
        <b/>
        <sz val="11"/>
        <color theme="1"/>
        <rFont val="Calibri"/>
        <family val="2"/>
        <scheme val="minor"/>
      </rPr>
      <t>ONCE</t>
    </r>
    <r>
      <rPr>
        <sz val="11"/>
        <color theme="1"/>
        <rFont val="Calibri"/>
        <family val="2"/>
        <scheme val="minor"/>
      </rPr>
      <t xml:space="preserve"> AND </t>
    </r>
    <r>
      <rPr>
        <b/>
        <sz val="11"/>
        <color theme="1"/>
        <rFont val="Calibri"/>
        <family val="2"/>
        <scheme val="minor"/>
      </rPr>
      <t>ONLY</t>
    </r>
    <r>
      <rPr>
        <sz val="11"/>
        <color theme="1"/>
        <rFont val="Calibri"/>
        <family val="2"/>
        <scheme val="minor"/>
      </rPr>
      <t xml:space="preserve"> ONCE!</t>
    </r>
  </si>
  <si>
    <t>Encore Multi-Channel</t>
  </si>
  <si>
    <t>LQ/FSII</t>
  </si>
  <si>
    <t>Conservative</t>
  </si>
  <si>
    <t>Aggressive</t>
  </si>
  <si>
    <t>Notes</t>
  </si>
  <si>
    <t>RM-120</t>
  </si>
  <si>
    <t>RM-440</t>
  </si>
  <si>
    <t>KB-100</t>
  </si>
  <si>
    <t>KB-111</t>
  </si>
  <si>
    <t>KB-115</t>
  </si>
  <si>
    <t>KB-124</t>
  </si>
  <si>
    <t>KB-211</t>
  </si>
  <si>
    <t>KB-212</t>
  </si>
  <si>
    <t>MR-102</t>
  </si>
  <si>
    <t>MR-104</t>
  </si>
  <si>
    <t>MR-202</t>
  </si>
  <si>
    <t>MR-204</t>
  </si>
  <si>
    <t>HLI-2W2</t>
  </si>
  <si>
    <t>LQ-2W</t>
  </si>
  <si>
    <t>Project:</t>
  </si>
  <si>
    <t>avg</t>
  </si>
  <si>
    <t>KB-112</t>
  </si>
  <si>
    <t>RM-220</t>
  </si>
  <si>
    <t>RS-500</t>
  </si>
  <si>
    <t>RM-400A</t>
  </si>
  <si>
    <t>quisent</t>
  </si>
  <si>
    <t>PS-22</t>
  </si>
  <si>
    <t>Avg</t>
  </si>
  <si>
    <t>PS-454</t>
  </si>
  <si>
    <t>TR-532</t>
  </si>
  <si>
    <t>PIC-4000</t>
  </si>
  <si>
    <t>AC-10</t>
  </si>
  <si>
    <t>TW-12B</t>
  </si>
  <si>
    <t>IF-4B</t>
  </si>
  <si>
    <t>AB-100</t>
  </si>
  <si>
    <t>Max</t>
  </si>
  <si>
    <t>PC-500</t>
  </si>
  <si>
    <t>Per 2 channel section</t>
  </si>
  <si>
    <t>CS-222</t>
  </si>
  <si>
    <t>MS-222</t>
  </si>
  <si>
    <t>MS-400A</t>
  </si>
  <si>
    <t>SB-412A</t>
  </si>
  <si>
    <t>MS-440</t>
  </si>
  <si>
    <t>SB-440</t>
  </si>
  <si>
    <t>MS-660</t>
  </si>
  <si>
    <t>MS-880</t>
  </si>
  <si>
    <t>MS-812</t>
  </si>
  <si>
    <t>RS-100</t>
  </si>
  <si>
    <t>Talk</t>
  </si>
  <si>
    <t>call</t>
  </si>
  <si>
    <t>SB-8</t>
  </si>
  <si>
    <t>SB-8EX</t>
  </si>
  <si>
    <t>CS-100</t>
  </si>
  <si>
    <t>CS-200</t>
  </si>
  <si>
    <t>PS-3000</t>
  </si>
  <si>
    <t>40 RS/MR or 15 KB</t>
  </si>
  <si>
    <t>PS-451</t>
  </si>
  <si>
    <t>PS-452</t>
  </si>
  <si>
    <t>PS-464</t>
  </si>
  <si>
    <t>PS-10</t>
  </si>
  <si>
    <t>PS-20</t>
  </si>
  <si>
    <t>MA-4</t>
  </si>
  <si>
    <t>AX-4</t>
  </si>
  <si>
    <t>PS-232</t>
  </si>
  <si>
    <t>TW-40</t>
  </si>
  <si>
    <t>FL-1</t>
  </si>
  <si>
    <t>on Channel A only</t>
  </si>
  <si>
    <t>1.75 max on any channel PL-PRO</t>
  </si>
  <si>
    <t>EF-1</t>
  </si>
  <si>
    <t>RS-502/522</t>
  </si>
  <si>
    <t>AC-701</t>
  </si>
  <si>
    <t>CS-210</t>
  </si>
  <si>
    <t>MS-200</t>
  </si>
  <si>
    <t>CP-100</t>
  </si>
  <si>
    <t>CP-300</t>
  </si>
  <si>
    <t>TW-12</t>
  </si>
  <si>
    <t>PC-100</t>
  </si>
  <si>
    <t>MS-232</t>
  </si>
  <si>
    <t>RCS-2000</t>
  </si>
  <si>
    <t>Short</t>
  </si>
  <si>
    <t>MS-808</t>
  </si>
  <si>
    <t>IS-808</t>
  </si>
  <si>
    <t>MS-200B</t>
  </si>
  <si>
    <t>TW-20</t>
  </si>
  <si>
    <t>PK-5</t>
  </si>
  <si>
    <t>PK-3</t>
  </si>
  <si>
    <t>Minicom PowerPack</t>
  </si>
  <si>
    <t>Classic</t>
  </si>
  <si>
    <t>Minicom</t>
  </si>
  <si>
    <t>Jurassic</t>
  </si>
  <si>
    <t>PL-Pro</t>
  </si>
  <si>
    <t>HelixNet</t>
  </si>
  <si>
    <t>Encore</t>
  </si>
  <si>
    <t>AC-10K/H</t>
  </si>
  <si>
    <t>Era</t>
  </si>
  <si>
    <t>Type</t>
  </si>
  <si>
    <r>
      <rPr>
        <b/>
        <sz val="11"/>
        <color theme="1"/>
        <rFont val="Calibri"/>
        <family val="2"/>
        <scheme val="minor"/>
      </rPr>
      <t xml:space="preserve">Note: </t>
    </r>
    <r>
      <rPr>
        <sz val="11"/>
        <color theme="1"/>
        <rFont val="Calibri"/>
        <family val="2"/>
        <scheme val="minor"/>
      </rPr>
      <t xml:space="preserve">Power budget is shared per A/B or C/D XLR pair - </t>
    </r>
    <r>
      <rPr>
        <b/>
        <u/>
        <sz val="11"/>
        <color theme="1"/>
        <rFont val="Calibri"/>
        <family val="2"/>
        <scheme val="minor"/>
      </rPr>
      <t>Consider the pairs as separate PSUs</t>
    </r>
  </si>
  <si>
    <t>System Type</t>
  </si>
  <si>
    <t>RS-702/802-IM</t>
  </si>
  <si>
    <t>per PSU</t>
  </si>
  <si>
    <t>per Channel</t>
  </si>
  <si>
    <t>per Device</t>
  </si>
  <si>
    <t>Standalone PSU</t>
  </si>
  <si>
    <r>
      <rPr>
        <b/>
        <sz val="11"/>
        <color theme="1"/>
        <rFont val="Calibri"/>
        <family val="2"/>
        <scheme val="minor"/>
      </rPr>
      <t xml:space="preserve">Note: </t>
    </r>
    <r>
      <rPr>
        <sz val="11"/>
        <color theme="1"/>
        <rFont val="Calibri"/>
        <family val="2"/>
        <scheme val="minor"/>
      </rPr>
      <t xml:space="preserve">Max PSU power is shared between all channels. </t>
    </r>
    <r>
      <rPr>
        <b/>
        <u/>
        <sz val="11"/>
        <color theme="1"/>
        <rFont val="Calibri"/>
        <family val="2"/>
        <scheme val="minor"/>
      </rPr>
      <t>Max per channel is 1.2A.</t>
    </r>
  </si>
  <si>
    <t>per A/B, C/D</t>
  </si>
  <si>
    <t>RS-602/622</t>
  </si>
  <si>
    <t>RS-603/623</t>
  </si>
  <si>
    <t>.8 per channel</t>
  </si>
  <si>
    <t>TWC-10</t>
  </si>
  <si>
    <t>CSD-1</t>
  </si>
  <si>
    <t>RMK-1</t>
  </si>
  <si>
    <t>Max per Ch</t>
  </si>
  <si>
    <t>PS-702</t>
  </si>
  <si>
    <t>MS-702/802</t>
  </si>
  <si>
    <t>PS-704</t>
  </si>
  <si>
    <t>per pair</t>
  </si>
  <si>
    <t>MS-704</t>
  </si>
  <si>
    <t>per channel</t>
  </si>
  <si>
    <t>Full draw on Channel A only</t>
  </si>
  <si>
    <t>2.0 max on channel A - 1.75 max channel B</t>
  </si>
  <si>
    <t>1 amp max per 2 channel section</t>
  </si>
  <si>
    <t>Select the Power Supplies for the 2-wire Partyline system. Verify power for PSU and Channel.</t>
  </si>
  <si>
    <t>Other</t>
  </si>
  <si>
    <t>Beginning 1968-1980</t>
  </si>
  <si>
    <t>Digital</t>
  </si>
  <si>
    <t>2.0A max on Ch. A - 1.75A max Ch. B</t>
  </si>
  <si>
    <t>2.5A max on Ch. A</t>
  </si>
  <si>
    <t>PL-PRO</t>
  </si>
  <si>
    <t>1995-2009</t>
  </si>
  <si>
    <t>1980's-1995</t>
  </si>
  <si>
    <t>Classics</t>
  </si>
  <si>
    <t>1968-1980</t>
  </si>
  <si>
    <t>Does not power user stations</t>
  </si>
  <si>
    <t>Linked variables</t>
  </si>
  <si>
    <t>Other User Stations</t>
  </si>
  <si>
    <t>The Analog Partyline Estimator</t>
  </si>
  <si>
    <t xml:space="preserve">Appropriate power reserves are critical to the performance of an analog partyline system. </t>
  </si>
  <si>
    <t>PC-501</t>
  </si>
  <si>
    <t>HLI-2W2 per port</t>
  </si>
  <si>
    <t>LQ-2W per port</t>
  </si>
  <si>
    <t>PIC-4704</t>
  </si>
  <si>
    <t>KB-702GM/802IM</t>
  </si>
  <si>
    <t>PC-101</t>
  </si>
  <si>
    <t>PC-101A</t>
  </si>
  <si>
    <t>MT-1</t>
  </si>
  <si>
    <t>BA-1</t>
  </si>
  <si>
    <t>KB-111A</t>
  </si>
  <si>
    <t>MR-102A</t>
  </si>
  <si>
    <t>MR-104A</t>
  </si>
  <si>
    <t>PIC-4000B</t>
  </si>
  <si>
    <t>WBS-6</t>
  </si>
  <si>
    <t>WBS-670</t>
  </si>
  <si>
    <t>WBS-680</t>
  </si>
  <si>
    <t>UPX-10</t>
  </si>
  <si>
    <t>FSII-BASE per port</t>
  </si>
  <si>
    <t>WRS-3</t>
  </si>
  <si>
    <t>CCI-22</t>
  </si>
  <si>
    <t>CCI-2</t>
  </si>
  <si>
    <t>NC-1</t>
  </si>
  <si>
    <t>NC-2</t>
  </si>
  <si>
    <t>HME</t>
  </si>
  <si>
    <t>PRO-800</t>
  </si>
  <si>
    <t>DX-200</t>
  </si>
  <si>
    <t>DX-210</t>
  </si>
  <si>
    <t>DX-410</t>
  </si>
  <si>
    <t>PRO-850</t>
  </si>
  <si>
    <t>PTX-2</t>
  </si>
  <si>
    <t>PTX-3</t>
  </si>
  <si>
    <t>RCV-2</t>
  </si>
  <si>
    <t>WBS-4</t>
  </si>
  <si>
    <t>Lectro</t>
  </si>
  <si>
    <t>WBS-6A</t>
  </si>
  <si>
    <t>Q700</t>
  </si>
  <si>
    <t>WBS-600</t>
  </si>
  <si>
    <t>Vega</t>
  </si>
  <si>
    <t>MS-812A</t>
  </si>
  <si>
    <t>MS-702/802-IM</t>
  </si>
  <si>
    <t xml:space="preserve"> </t>
  </si>
  <si>
    <t>The partyline estimator tool does not design or optimize systems, it is a tool for those who do.</t>
  </si>
  <si>
    <t>Beginning - 1968-1980's</t>
  </si>
  <si>
    <t>Classics - 1980's-1995</t>
  </si>
  <si>
    <t>RS-500s - 1986-2004</t>
  </si>
  <si>
    <t>PL-PRO - 1995-2009</t>
  </si>
  <si>
    <t>RS-600s - 2004-2013</t>
  </si>
  <si>
    <t>MX-840</t>
  </si>
  <si>
    <t>MX-820</t>
  </si>
  <si>
    <t>TWC-704 per TW</t>
  </si>
  <si>
    <t>User Defined A</t>
  </si>
  <si>
    <t>User Defined B</t>
  </si>
  <si>
    <t>User Defined C</t>
  </si>
  <si>
    <t>User defined power consumption - If it doesn't exist, enter it here;</t>
  </si>
  <si>
    <t>User defined power supply - If it doesn't exist, enter it here;</t>
  </si>
  <si>
    <t>Provide Links to Datasheets and Manual downloads</t>
  </si>
  <si>
    <t>Cable calculator tool</t>
  </si>
  <si>
    <t>To do NOW:</t>
  </si>
  <si>
    <t>To do NEXT:</t>
  </si>
  <si>
    <t>Add QSG link</t>
  </si>
  <si>
    <t>Data used in this estimator</t>
  </si>
  <si>
    <t>This tool is intended to estimate power requirements for analog partyline systems.</t>
  </si>
  <si>
    <t>E-Mail Preferences</t>
  </si>
  <si>
    <t>Add up the combined power requirements of the system's User Stations and accessories.</t>
  </si>
  <si>
    <t>Select the Power Headroom and the System Type which best describes the system.</t>
  </si>
  <si>
    <t>Power Pac</t>
  </si>
  <si>
    <t>Parallel PSU</t>
  </si>
  <si>
    <t xml:space="preserve">Appropriate power reserves are critical to the performance of an analog partyline system.  As with any audio system, power requirements change dynamically with how the system is used. Systems with multiple concurrent talkers, high utilization of call signals and many open loudspeakers draw much more power than a system that consists of a show caller and multiple listeners.
</t>
  </si>
  <si>
    <t>This tool is intended to guide estimating power requirements for analog partyline systems. As there are many valid strategies on how to construct a partyline system it is important that the estimator is used as a tool. The estimator is not intended to design a Partyline system!</t>
  </si>
  <si>
    <t>With the total maximum power requirement of the system's user stations, the tool gives the system designer a choice to select system power headroom as Conservative, Normal or Aggressive.  This assumption reduces the available power budget of the power supplies selected in step 3 by -20%, -10% or 0% respectively.  It should be noted that cable resistance (long cables) add strain on the power supply and system.  Systems in loud environments with long cables could be candidates for the Conservative setting.
Parallel connecting multiple power supplies (PSU) can be done to add additional power capacity to a system if they share the same AC ground. The summation of paralleled power supplies will not be 100%. Additional setting is provided to de-rate the power budget if the power supplies are paralleled. Connecting more than 2 PSUs in parallel is not recommended and Clear-Com suggests subdividing larger systems using MT-701 isolation devices.</t>
  </si>
  <si>
    <t xml:space="preserve">       Partyline Power Estimator</t>
  </si>
  <si>
    <t>Minicom Power Pac</t>
  </si>
  <si>
    <t>Revision History</t>
  </si>
  <si>
    <t>Instructions - Partyline Power Estimator</t>
  </si>
  <si>
    <t>Information and Support:</t>
  </si>
  <si>
    <t>Digital Partyline</t>
  </si>
  <si>
    <t>Legacy Power Estimator</t>
  </si>
  <si>
    <t>MS-200C</t>
  </si>
  <si>
    <t>Pots</t>
  </si>
  <si>
    <t>Refined version</t>
  </si>
  <si>
    <t>Rackmount CS-210</t>
  </si>
  <si>
    <t>MS-400</t>
  </si>
  <si>
    <t>Pots (vertical talk keys)</t>
  </si>
  <si>
    <t>Refined version (horizontal talk keys)</t>
  </si>
  <si>
    <t>SB-412</t>
  </si>
  <si>
    <t>IF4-4</t>
  </si>
  <si>
    <t>MX-820A</t>
  </si>
  <si>
    <t>MX-840A</t>
  </si>
  <si>
    <t>IF4-B</t>
  </si>
  <si>
    <t>….....AND REMEMBER -&gt; EACH CHANNEL IS TO BE TERMINATED ONCE AND ONLY ONCE!</t>
  </si>
  <si>
    <t>Year</t>
  </si>
  <si>
    <t>Datasheet</t>
  </si>
  <si>
    <t>Manual</t>
  </si>
  <si>
    <t>Service Manual</t>
  </si>
  <si>
    <t>1980s</t>
  </si>
  <si>
    <t>RM-120A</t>
  </si>
  <si>
    <t>TR-62</t>
  </si>
  <si>
    <t>1990s</t>
  </si>
  <si>
    <t>EF-1M</t>
  </si>
  <si>
    <t>AMS-1027</t>
  </si>
  <si>
    <t>RCU-67</t>
  </si>
  <si>
    <t>V-BOX</t>
  </si>
  <si>
    <t>RCS-WIN</t>
  </si>
  <si>
    <t>Installation Manual</t>
  </si>
  <si>
    <t>AMS-1025</t>
  </si>
  <si>
    <t>AMS-1020</t>
  </si>
  <si>
    <t>V_Pack</t>
  </si>
  <si>
    <t>PIC-4 DLC</t>
  </si>
  <si>
    <t>MS-808 DLC</t>
  </si>
  <si>
    <t>IS-808 DLC</t>
  </si>
  <si>
    <t>KB-110</t>
  </si>
  <si>
    <t>AWG</t>
  </si>
  <si>
    <r>
      <t>mm</t>
    </r>
    <r>
      <rPr>
        <b/>
        <sz val="6.6"/>
        <color rgb="FFFFFFFF"/>
        <rFont val="Inherit"/>
      </rPr>
      <t>2</t>
    </r>
  </si>
  <si>
    <t>R per 1000 ft</t>
  </si>
  <si>
    <t>R per 100m</t>
  </si>
  <si>
    <t>Power (Amps)</t>
  </si>
  <si>
    <t>Length (Meters)</t>
  </si>
  <si>
    <t>Length (ft)</t>
  </si>
  <si>
    <t>Resistance</t>
  </si>
  <si>
    <t>Voltage Loss</t>
  </si>
  <si>
    <t>Drain</t>
  </si>
  <si>
    <t>Conductor</t>
  </si>
  <si>
    <t>Voltage Drop</t>
  </si>
  <si>
    <t>Power draw</t>
  </si>
  <si>
    <t>Appropriate power supplies need to be selected for the system. This section calculates the selected power supplies Power Budget using the variables in Step 2 and compares with the maximum power requirements of the system's user stations and interfaces as calculated in Step 1. You should ensure that sufficient power is available for the system.
Available power supplies have different characteristics which need to be taken into account, especially in larger systems where the maximum power requirements are close to the available Power Budget.
Encore multi-channel Power Supplies have a fixed current threshold set at 2A. Once exceeded the power supply goes into protection mode which shuts the channel power off for incrementally longer time until the overload is resolved.  Overload situations are normally due to cable shorts or insufficient Power Budget.  The 2A maximum power capacity is shared between all channels and output with a maximum of 1.2A continuous available power per channel. Therefore the Power Budget may need to be evaluated both for the system as a whole as well as channels with a large number of stations.
Clear-Com's Digital devices, such as LQ and FSII-BASE-II specify their Power Budget per pair of ports due to being TW switchable.  Multiple ports can be used for the same channel and therefore power per device and port needs to be evaluated.  The available Power Budget of these devices is smaller and are therefore protected by a current limiter per pair of ports.
Legacy power supplies have different approaches to how they handle power.  Please read the notes in the estimator and refer to the devices manuals and datasheet if in doubt.</t>
  </si>
  <si>
    <t>Clear-Com Party Line Capacitance Calculator</t>
  </si>
  <si>
    <t>Cable</t>
  </si>
  <si>
    <t>Capacitance per ft. (pf)</t>
  </si>
  <si>
    <t>Belden 8760</t>
  </si>
  <si>
    <t>Total Length (ft)</t>
  </si>
  <si>
    <r>
      <t>Total Capacitance (</t>
    </r>
    <r>
      <rPr>
        <sz val="10"/>
        <rFont val="Symbol"/>
        <family val="1"/>
        <charset val="2"/>
      </rPr>
      <t>m</t>
    </r>
    <r>
      <rPr>
        <sz val="10"/>
        <rFont val="Arial"/>
        <family val="2"/>
      </rPr>
      <t>f)</t>
    </r>
  </si>
  <si>
    <t>Result: -3dB Frequency response point</t>
  </si>
  <si>
    <t>Add NC-1 QTY</t>
  </si>
  <si>
    <r>
      <t>Total Neg. Capacitance (</t>
    </r>
    <r>
      <rPr>
        <sz val="10"/>
        <rFont val="Symbol"/>
        <family val="1"/>
        <charset val="2"/>
      </rPr>
      <t>m</t>
    </r>
    <r>
      <rPr>
        <sz val="10"/>
        <rFont val="Arial"/>
        <family val="2"/>
      </rPr>
      <t>f)</t>
    </r>
  </si>
  <si>
    <t>Drop #</t>
  </si>
  <si>
    <t>Length</t>
  </si>
  <si>
    <t>Total Length of "worst case" Grouping of Drops</t>
  </si>
  <si>
    <t>Clear-Com Party Line System Calculator</t>
  </si>
  <si>
    <t>C. Button</t>
  </si>
  <si>
    <t>M. Ingram</t>
  </si>
  <si>
    <t>Wire Chart</t>
  </si>
  <si>
    <t>Resistance per 1000'</t>
  </si>
  <si>
    <t>Instructions:</t>
  </si>
  <si>
    <t>1) Enter Distance, # of Beltpacks, and Current per Beltpack</t>
  </si>
  <si>
    <t>2) For unused drops enter Distance = 0 feet, and # of Beltpacks = 0</t>
  </si>
  <si>
    <t>3) Enter Wire AWG until Total Vloss is less than 10V</t>
  </si>
  <si>
    <t>Legend:</t>
  </si>
  <si>
    <t>Gray</t>
  </si>
  <si>
    <t>User Inputs</t>
  </si>
  <si>
    <t>White</t>
  </si>
  <si>
    <t>Calculations (protected)</t>
  </si>
  <si>
    <t>Comments attached</t>
  </si>
  <si>
    <t>Conclusions:  ===&gt;</t>
  </si>
  <si>
    <t>From spread sheet below</t>
  </si>
  <si>
    <t>Distance</t>
  </si>
  <si>
    <t># of Beltpacks</t>
  </si>
  <si>
    <t>Wire AWG</t>
  </si>
  <si>
    <t>Wire resistance per 1000'</t>
  </si>
  <si>
    <t>Wire resistance</t>
  </si>
  <si>
    <t>Current per drop</t>
  </si>
  <si>
    <t>Current - line</t>
  </si>
  <si>
    <t>Power Supply</t>
  </si>
  <si>
    <t>Scratch pad</t>
  </si>
  <si>
    <t>Partyline user stations are specified for their idle and max. power consumption in order to allow the system designer to determine how the dynamics of the users workflow may change the power requirements of the system. This tool adds all the maximum power consumptions of all user stations for use in the next steps.</t>
  </si>
  <si>
    <t>Version 1.1 - November 2019</t>
  </si>
  <si>
    <t>Cabling Recommendations</t>
  </si>
  <si>
    <r>
      <t xml:space="preserve">Legacy specifications are estimates based on documentation from the era when these devices were designed and built.  Different methods have been used to measure and specify power parameters in analog partyline systems since 1968. Early Clear-Com devices used high power bulbs (40mA!) for call signaling, as an example, which required a separate power consumption parameter. Therefore, there may be minor inconsistencies in the data in this estimator and old datasheets.  The estimator additionally includes devices that do not provide power nor require power, this is intentional and intended to be informational.
Please let us know if you encounter inconsistencies at </t>
    </r>
    <r>
      <rPr>
        <u/>
        <sz val="11"/>
        <color theme="1"/>
        <rFont val="Calibri"/>
        <family val="2"/>
        <scheme val="minor"/>
      </rPr>
      <t>support@clearcom.com</t>
    </r>
  </si>
  <si>
    <t xml:space="preserve"> Initial release</t>
  </si>
  <si>
    <t>Added graphs</t>
  </si>
  <si>
    <t>Version 1.0 - October 2019</t>
  </si>
  <si>
    <t xml:space="preserve"> Legacy Partyline Pwr. Estimator</t>
  </si>
  <si>
    <t>Total (A)</t>
  </si>
  <si>
    <t>Total (W)</t>
  </si>
  <si>
    <t>Power Idle (W)</t>
  </si>
  <si>
    <t>Power Max (W)</t>
  </si>
  <si>
    <t>For Power calculation</t>
  </si>
  <si>
    <t>Version 1.2 - March 2020</t>
  </si>
  <si>
    <t>MS/PS</t>
  </si>
  <si>
    <t>US</t>
  </si>
  <si>
    <t>BTU/hr</t>
  </si>
  <si>
    <t>PSU Rating</t>
  </si>
  <si>
    <t>System Power (W)</t>
  </si>
  <si>
    <t>PSU Power Budget (A)</t>
  </si>
  <si>
    <t>User Station Power Draw (A Max)</t>
  </si>
  <si>
    <t>Idle</t>
  </si>
  <si>
    <t>System Power Req. Estimate (A) @ 100V</t>
  </si>
  <si>
    <t>System Power Req. Estimate (A) @ 230V</t>
  </si>
  <si>
    <t>System Power Req. Estimate (A) @ 120V</t>
  </si>
  <si>
    <t>Power factor est MS/PS Consumption</t>
  </si>
  <si>
    <t>Added Heat and Electrical load Estimates</t>
  </si>
  <si>
    <t>Conclusion - Partyline Power</t>
  </si>
  <si>
    <r>
      <rPr>
        <b/>
        <sz val="11"/>
        <color theme="1"/>
        <rFont val="Calibri"/>
        <family val="2"/>
        <scheme val="minor"/>
      </rPr>
      <t xml:space="preserve">Disclaimer: </t>
    </r>
    <r>
      <rPr>
        <sz val="11"/>
        <color theme="1"/>
        <rFont val="Calibri"/>
        <family val="2"/>
        <scheme val="minor"/>
      </rPr>
      <t>This document and data information disclosed in this document are confidential and are the exclusive property of Clear-Com LLC. Reproduction, copying, disclosure or use of this document data without written permission of Clear-Com LLC is prohibited. This document is protected as an unpublished work under International copyright law.  All rights reserved.</t>
    </r>
  </si>
  <si>
    <t>Conclusion - System Electrical and Heat Load Estimates (for Encore only)</t>
  </si>
  <si>
    <t>Complete product list with resource links - legacy products</t>
  </si>
  <si>
    <t>Add Wireless basestations - WBS etc</t>
  </si>
  <si>
    <t xml:space="preserve">Estimations of total electrical and thermal utility requierments. </t>
  </si>
  <si>
    <t>Version 1.3 - September 2022</t>
  </si>
  <si>
    <t>Added TWC-703, Arcadia, FSE-BASE</t>
  </si>
  <si>
    <t>TWC-703</t>
  </si>
  <si>
    <t>FSE-BASE</t>
  </si>
  <si>
    <t>Arcadia</t>
  </si>
  <si>
    <t>FSE-BASE per port</t>
  </si>
  <si>
    <t>Arcadia per port</t>
  </si>
  <si>
    <t>Digital Devices</t>
  </si>
  <si>
    <r>
      <rPr>
        <b/>
        <sz val="11"/>
        <color theme="1"/>
        <rFont val="Calibri"/>
        <family val="2"/>
        <scheme val="minor"/>
      </rPr>
      <t xml:space="preserve">Note: </t>
    </r>
    <r>
      <rPr>
        <sz val="11"/>
        <color theme="1"/>
        <rFont val="Calibri"/>
        <family val="2"/>
        <scheme val="minor"/>
      </rPr>
      <t xml:space="preserve">Only 1 PK/TWC can be used in a system. </t>
    </r>
    <r>
      <rPr>
        <b/>
        <u/>
        <sz val="11"/>
        <color theme="1"/>
        <rFont val="Calibri"/>
        <family val="2"/>
        <scheme val="minor"/>
      </rPr>
      <t>They should not be combined with another PSU.</t>
    </r>
  </si>
  <si>
    <r>
      <rPr>
        <b/>
        <sz val="11"/>
        <color theme="1"/>
        <rFont val="Calibri"/>
        <family val="2"/>
        <scheme val="minor"/>
      </rPr>
      <t xml:space="preserve">Note: </t>
    </r>
    <r>
      <rPr>
        <sz val="11"/>
        <color theme="1"/>
        <rFont val="Calibri"/>
        <family val="2"/>
        <scheme val="minor"/>
      </rPr>
      <t>TWC requires the use of an optional PSU.</t>
    </r>
  </si>
  <si>
    <t>FSII-BASEII per port</t>
  </si>
  <si>
    <r>
      <t xml:space="preserve">Note: </t>
    </r>
    <r>
      <rPr>
        <sz val="11"/>
        <color theme="1"/>
        <rFont val="Calibri"/>
        <family val="2"/>
        <scheme val="minor"/>
      </rPr>
      <t>Only 1 PK/TWC can be used in a system.</t>
    </r>
    <r>
      <rPr>
        <b/>
        <sz val="11"/>
        <color theme="1"/>
        <rFont val="Calibri"/>
        <family val="2"/>
        <scheme val="minor"/>
      </rPr>
      <t xml:space="preserve"> </t>
    </r>
    <r>
      <rPr>
        <b/>
        <u/>
        <sz val="11"/>
        <color theme="1"/>
        <rFont val="Calibri"/>
        <family val="2"/>
        <scheme val="minor"/>
      </rPr>
      <t>They should not be combined with another PSU.</t>
    </r>
  </si>
  <si>
    <t>TWC-703 w.opt.PS</t>
  </si>
  <si>
    <t>Digtial Devices</t>
  </si>
  <si>
    <t>Not available for Legacy, Arcadia, FSE, FSII, LQ.</t>
  </si>
  <si>
    <t>Estimations of total electrical and thermal utility requierments.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</si>
</sst>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_(* \(#,##0.00\);_(* &quot;-&quot;??_);_(@_)"/>
    <numFmt numFmtId="164" formatCode="0.000"/>
    <numFmt numFmtId="165" formatCode="0.00_);[Red]\(0.00\)"/>
    <numFmt numFmtId="166" formatCode="0.0"/>
    <numFmt numFmtId="167" formatCode="0.0000"/>
    <numFmt numFmtId="168" formatCode="&quot;Total Distance&quot;\ 0\ &quot;feet&quot;"/>
    <numFmt numFmtId="169" formatCode="&quot;Total Vloss = &quot;0.00\ &quot;Volts&quot;"/>
    <numFmt numFmtId="170" formatCode="&quot;Total Current = &quot;0.00\ &quot;Amps&quot;"/>
    <numFmt numFmtId="171" formatCode="0.0\ &quot;Ohms&quot;"/>
    <numFmt numFmtId="172" formatCode="00\ &quot;Ohms&quot;"/>
    <numFmt numFmtId="173" formatCode="&quot;Current per Beltpack&quot;\ 0.00\ &quot;mA&quot;"/>
    <numFmt numFmtId="174" formatCode="&quot;Total Current&quot;\ 0.00\ &quot;Amps&quot;"/>
    <numFmt numFmtId="175" formatCode="0.00\ &quot;Volts&quot;"/>
    <numFmt numFmtId="176" formatCode="&quot;Drop  &quot;0"/>
    <numFmt numFmtId="177" formatCode="0\ &quot;Feet&quot;"/>
    <numFmt numFmtId="178" formatCode="0\ &quot;AWG&quot;"/>
    <numFmt numFmtId="179" formatCode="0.00\ &quot;Ohms&quot;"/>
    <numFmt numFmtId="180" formatCode="0.00\ &quot;Amps&quot;"/>
    <numFmt numFmtId="181" formatCode="&quot;Total Beltpacks = &quot;0"/>
  </numFmts>
  <fonts count="35">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u/>
      <sz val="11"/>
      <color theme="1"/>
      <name val="Calibri"/>
      <family val="2"/>
      <scheme val="minor"/>
    </font>
    <font>
      <sz val="11"/>
      <name val="Calibri"/>
      <family val="2"/>
      <scheme val="minor"/>
    </font>
    <font>
      <u/>
      <sz val="11"/>
      <color theme="10"/>
      <name val="Calibri"/>
      <family val="2"/>
      <scheme val="minor"/>
    </font>
    <font>
      <sz val="11"/>
      <color rgb="FF000000"/>
      <name val="Calibri"/>
      <family val="2"/>
    </font>
    <font>
      <sz val="8"/>
      <name val="Calibri"/>
      <family val="2"/>
      <scheme val="minor"/>
    </font>
    <font>
      <b/>
      <sz val="14"/>
      <color theme="1"/>
      <name val="Calibri"/>
      <family val="2"/>
      <scheme val="minor"/>
    </font>
    <font>
      <sz val="24"/>
      <color theme="1"/>
      <name val="Calibri"/>
      <family val="2"/>
      <scheme val="minor"/>
    </font>
    <font>
      <b/>
      <sz val="11"/>
      <color theme="4" tint="0.79998168889431442"/>
      <name val="Calibri"/>
      <family val="2"/>
      <scheme val="minor"/>
    </font>
    <font>
      <sz val="11"/>
      <color theme="4" tint="0.79998168889431442"/>
      <name val="Calibri"/>
      <family val="2"/>
      <scheme val="minor"/>
    </font>
    <font>
      <sz val="11"/>
      <color theme="0"/>
      <name val="Calibri"/>
      <family val="2"/>
      <scheme val="minor"/>
    </font>
    <font>
      <b/>
      <sz val="11"/>
      <color rgb="FFC00000"/>
      <name val="Calibri"/>
      <family val="2"/>
      <scheme val="minor"/>
    </font>
    <font>
      <sz val="11"/>
      <color theme="0" tint="-4.9989318521683403E-2"/>
      <name val="Calibri"/>
      <family val="2"/>
      <scheme val="minor"/>
    </font>
    <font>
      <sz val="11"/>
      <color theme="5" tint="0.39997558519241921"/>
      <name val="Calibri"/>
      <family val="2"/>
      <scheme val="minor"/>
    </font>
    <font>
      <b/>
      <sz val="11"/>
      <color rgb="FF0070C0"/>
      <name val="Calibri"/>
      <family val="2"/>
      <scheme val="minor"/>
    </font>
    <font>
      <b/>
      <u/>
      <sz val="14"/>
      <color theme="1"/>
      <name val="Calibri"/>
      <family val="2"/>
      <scheme val="minor"/>
    </font>
    <font>
      <u/>
      <sz val="11"/>
      <color theme="1"/>
      <name val="Calibri"/>
      <family val="2"/>
      <scheme val="minor"/>
    </font>
    <font>
      <sz val="18"/>
      <color theme="1"/>
      <name val="Calibri"/>
      <family val="2"/>
      <scheme val="minor"/>
    </font>
    <font>
      <b/>
      <sz val="11"/>
      <color rgb="FFFFFFFF"/>
      <name val="Inherit"/>
    </font>
    <font>
      <b/>
      <sz val="6.6"/>
      <color rgb="FFFFFFFF"/>
      <name val="Inherit"/>
    </font>
    <font>
      <sz val="14"/>
      <color rgb="FF4C4C4E"/>
      <name val="Inherit"/>
    </font>
    <font>
      <sz val="10"/>
      <name val="Symbol"/>
      <family val="1"/>
      <charset val="2"/>
    </font>
    <font>
      <sz val="10"/>
      <name val="Arial"/>
      <family val="2"/>
    </font>
    <font>
      <b/>
      <sz val="10"/>
      <name val="Arial"/>
      <family val="2"/>
    </font>
    <font>
      <b/>
      <sz val="14"/>
      <name val="Arial"/>
      <family val="2"/>
    </font>
    <font>
      <b/>
      <sz val="8"/>
      <color indexed="81"/>
      <name val="Tahoma"/>
      <family val="2"/>
    </font>
    <font>
      <b/>
      <i/>
      <sz val="12"/>
      <color rgb="FF00B050"/>
      <name val="Calibri"/>
      <family val="2"/>
      <scheme val="minor"/>
    </font>
    <font>
      <sz val="12"/>
      <color theme="1"/>
      <name val="Calibri"/>
      <family val="2"/>
      <scheme val="minor"/>
    </font>
    <font>
      <i/>
      <sz val="12"/>
      <color theme="1"/>
      <name val="Calibri"/>
      <family val="2"/>
      <scheme val="minor"/>
    </font>
    <font>
      <sz val="11"/>
      <color rgb="FFFFC000"/>
      <name val="Calibri"/>
      <family val="2"/>
      <scheme val="minor"/>
    </font>
    <font>
      <b/>
      <sz val="11"/>
      <name val="Calibri"/>
      <family val="2"/>
      <scheme val="minor"/>
    </font>
    <font>
      <sz val="11"/>
      <name val="Calibri"/>
      <family val="2"/>
    </font>
  </fonts>
  <fills count="13">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rgb="FFFFC000"/>
        <bgColor indexed="64"/>
      </patternFill>
    </fill>
    <fill>
      <patternFill patternType="solid">
        <fgColor theme="2" tint="-0.499984740745262"/>
        <bgColor indexed="64"/>
      </patternFill>
    </fill>
    <fill>
      <patternFill patternType="solid">
        <fgColor rgb="FFFFFF00"/>
        <bgColor indexed="64"/>
      </patternFill>
    </fill>
    <fill>
      <patternFill patternType="solid">
        <fgColor rgb="FFFFFFFF"/>
        <bgColor indexed="64"/>
      </patternFill>
    </fill>
    <fill>
      <patternFill patternType="solid">
        <fgColor rgb="FF0B283B"/>
        <bgColor indexed="64"/>
      </patternFill>
    </fill>
    <fill>
      <patternFill patternType="solid">
        <fgColor rgb="FFECECEC"/>
        <bgColor indexed="64"/>
      </patternFill>
    </fill>
    <fill>
      <patternFill patternType="solid">
        <fgColor indexed="22"/>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Dashed">
        <color rgb="FFCCCCCC"/>
      </bottom>
      <diagonal/>
    </border>
    <border>
      <left style="mediumDashed">
        <color rgb="FFCCCCCC"/>
      </left>
      <right/>
      <top/>
      <bottom style="mediumDashed">
        <color rgb="FFCCCCCC"/>
      </bottom>
      <diagonal/>
    </border>
    <border>
      <left style="mediumDashed">
        <color rgb="FFCCCCCC"/>
      </left>
      <right style="mediumDashed">
        <color rgb="FFCCCCCC"/>
      </right>
      <top style="mediumDashed">
        <color rgb="FFCCCCCC"/>
      </top>
      <bottom style="mediumDashed">
        <color rgb="FFCCCCCC"/>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style="thin">
        <color indexed="64"/>
      </right>
      <top style="thin">
        <color indexed="64"/>
      </top>
      <bottom style="thin">
        <color indexed="64"/>
      </bottom>
      <diagonal/>
    </border>
    <border>
      <left/>
      <right style="medium">
        <color indexed="64"/>
      </right>
      <top style="double">
        <color indexed="64"/>
      </top>
      <bottom style="double">
        <color indexed="64"/>
      </bottom>
      <diagonal/>
    </border>
    <border>
      <left/>
      <right/>
      <top style="double">
        <color indexed="64"/>
      </top>
      <bottom style="double">
        <color indexed="64"/>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xf numFmtId="43" fontId="1" fillId="0" borderId="0" applyFont="0" applyFill="0" applyBorder="0" applyAlignment="0" applyProtection="0"/>
  </cellStyleXfs>
  <cellXfs count="338">
    <xf numFmtId="0" fontId="0" fillId="0" borderId="0" xfId="0"/>
    <xf numFmtId="0" fontId="0" fillId="0" borderId="0" xfId="0" applyFill="1" applyBorder="1"/>
    <xf numFmtId="0" fontId="0" fillId="0" borderId="0" xfId="0" applyBorder="1"/>
    <xf numFmtId="0" fontId="0" fillId="4" borderId="0" xfId="0" applyFill="1" applyProtection="1">
      <protection hidden="1"/>
    </xf>
    <xf numFmtId="0" fontId="0" fillId="4" borderId="0" xfId="0" applyFill="1" applyBorder="1" applyProtection="1">
      <protection hidden="1"/>
    </xf>
    <xf numFmtId="164" fontId="0" fillId="4" borderId="0" xfId="0" applyNumberFormat="1" applyFill="1" applyBorder="1" applyProtection="1">
      <protection hidden="1"/>
    </xf>
    <xf numFmtId="0" fontId="10" fillId="4" borderId="0" xfId="0" applyFont="1" applyFill="1" applyAlignment="1" applyProtection="1">
      <alignment vertical="center"/>
      <protection hidden="1"/>
    </xf>
    <xf numFmtId="0" fontId="2" fillId="4" borderId="0" xfId="0" applyFont="1" applyFill="1" applyAlignment="1" applyProtection="1">
      <alignment horizontal="right"/>
      <protection hidden="1"/>
    </xf>
    <xf numFmtId="0" fontId="10" fillId="4" borderId="0" xfId="0" applyFont="1" applyFill="1" applyAlignment="1" applyProtection="1">
      <alignment horizontal="center" vertical="center"/>
      <protection hidden="1"/>
    </xf>
    <xf numFmtId="0" fontId="2" fillId="4" borderId="0" xfId="0" applyFont="1" applyFill="1" applyProtection="1">
      <protection hidden="1"/>
    </xf>
    <xf numFmtId="0" fontId="2" fillId="4" borderId="0" xfId="0" applyFont="1" applyFill="1" applyBorder="1" applyProtection="1">
      <protection hidden="1"/>
    </xf>
    <xf numFmtId="0" fontId="9" fillId="3" borderId="1" xfId="0" applyFont="1" applyFill="1" applyBorder="1" applyProtection="1">
      <protection hidden="1"/>
    </xf>
    <xf numFmtId="0" fontId="0" fillId="3" borderId="2" xfId="0" applyFill="1" applyBorder="1" applyProtection="1">
      <protection hidden="1"/>
    </xf>
    <xf numFmtId="0" fontId="0" fillId="3" borderId="3" xfId="0" applyFill="1" applyBorder="1" applyProtection="1">
      <protection hidden="1"/>
    </xf>
    <xf numFmtId="164" fontId="0" fillId="3" borderId="2" xfId="0" applyNumberFormat="1" applyFill="1" applyBorder="1" applyProtection="1">
      <protection hidden="1"/>
    </xf>
    <xf numFmtId="0" fontId="0" fillId="3" borderId="4" xfId="0" applyFill="1" applyBorder="1" applyProtection="1">
      <protection hidden="1"/>
    </xf>
    <xf numFmtId="0" fontId="0" fillId="3" borderId="0" xfId="0" applyFill="1" applyBorder="1" applyProtection="1">
      <protection hidden="1"/>
    </xf>
    <xf numFmtId="0" fontId="0" fillId="3" borderId="10" xfId="0" applyFill="1" applyBorder="1" applyProtection="1">
      <protection hidden="1"/>
    </xf>
    <xf numFmtId="164" fontId="0" fillId="3" borderId="0" xfId="0" applyNumberFormat="1" applyFill="1" applyBorder="1" applyProtection="1">
      <protection hidden="1"/>
    </xf>
    <xf numFmtId="0" fontId="2" fillId="3" borderId="4" xfId="0" applyFont="1" applyFill="1" applyBorder="1" applyAlignment="1" applyProtection="1">
      <alignment wrapText="1"/>
      <protection hidden="1"/>
    </xf>
    <xf numFmtId="0" fontId="2" fillId="3" borderId="0" xfId="0" applyFont="1" applyFill="1" applyBorder="1" applyAlignment="1" applyProtection="1">
      <alignment horizontal="center"/>
      <protection hidden="1"/>
    </xf>
    <xf numFmtId="164" fontId="2" fillId="3" borderId="0" xfId="0" applyNumberFormat="1" applyFont="1" applyFill="1" applyBorder="1" applyAlignment="1" applyProtection="1">
      <alignment horizontal="center"/>
      <protection hidden="1"/>
    </xf>
    <xf numFmtId="1" fontId="2" fillId="3" borderId="0" xfId="0" applyNumberFormat="1" applyFont="1" applyFill="1" applyBorder="1" applyAlignment="1" applyProtection="1">
      <alignment horizontal="center"/>
      <protection hidden="1"/>
    </xf>
    <xf numFmtId="0" fontId="2" fillId="3" borderId="0" xfId="0" applyFont="1" applyFill="1" applyBorder="1" applyAlignment="1" applyProtection="1">
      <alignment horizontal="center" wrapText="1"/>
      <protection hidden="1"/>
    </xf>
    <xf numFmtId="0" fontId="2" fillId="3" borderId="10" xfId="0" applyFont="1" applyFill="1" applyBorder="1" applyAlignment="1" applyProtection="1">
      <alignment horizontal="center" wrapText="1"/>
      <protection hidden="1"/>
    </xf>
    <xf numFmtId="0" fontId="2" fillId="3" borderId="4" xfId="0" applyFont="1" applyFill="1" applyBorder="1" applyAlignment="1" applyProtection="1">
      <alignment horizontal="right" vertical="center" wrapText="1"/>
      <protection hidden="1"/>
    </xf>
    <xf numFmtId="0" fontId="2" fillId="2" borderId="5" xfId="0" applyFont="1" applyFill="1" applyBorder="1" applyAlignment="1" applyProtection="1">
      <alignment horizontal="center" vertical="center"/>
      <protection locked="0" hidden="1"/>
    </xf>
    <xf numFmtId="0" fontId="2" fillId="3" borderId="0" xfId="0" applyFont="1" applyFill="1" applyBorder="1" applyAlignment="1" applyProtection="1">
      <alignment horizontal="right" vertical="center" wrapText="1"/>
      <protection hidden="1"/>
    </xf>
    <xf numFmtId="0" fontId="2" fillId="2" borderId="5" xfId="0" applyFont="1" applyFill="1" applyBorder="1" applyAlignment="1" applyProtection="1">
      <alignment horizontal="center" vertical="center" wrapText="1"/>
      <protection locked="0" hidden="1"/>
    </xf>
    <xf numFmtId="164" fontId="0" fillId="3" borderId="0" xfId="0" applyNumberFormat="1" applyFill="1" applyBorder="1" applyAlignment="1" applyProtection="1">
      <alignment horizontal="center"/>
      <protection hidden="1"/>
    </xf>
    <xf numFmtId="164" fontId="0" fillId="3" borderId="0" xfId="0" applyNumberFormat="1" applyFill="1" applyBorder="1" applyAlignment="1" applyProtection="1">
      <alignment horizontal="center" vertical="center"/>
      <protection hidden="1"/>
    </xf>
    <xf numFmtId="1" fontId="0" fillId="2" borderId="5" xfId="0" applyNumberFormat="1" applyFill="1" applyBorder="1" applyAlignment="1" applyProtection="1">
      <alignment horizontal="center"/>
      <protection locked="0" hidden="1"/>
    </xf>
    <xf numFmtId="164" fontId="0" fillId="3" borderId="10" xfId="0" applyNumberFormat="1" applyFill="1" applyBorder="1" applyAlignment="1" applyProtection="1">
      <alignment horizontal="center" vertical="center"/>
      <protection hidden="1"/>
    </xf>
    <xf numFmtId="1" fontId="0" fillId="2" borderId="8" xfId="0" applyNumberFormat="1" applyFill="1" applyBorder="1" applyAlignment="1" applyProtection="1">
      <alignment horizontal="center"/>
      <protection locked="0" hidden="1"/>
    </xf>
    <xf numFmtId="0" fontId="3" fillId="3" borderId="4" xfId="0" applyFont="1" applyFill="1" applyBorder="1" applyProtection="1">
      <protection hidden="1"/>
    </xf>
    <xf numFmtId="0" fontId="0" fillId="3" borderId="6" xfId="0" applyFill="1" applyBorder="1" applyProtection="1">
      <protection hidden="1"/>
    </xf>
    <xf numFmtId="0" fontId="0" fillId="3" borderId="7" xfId="0" applyFill="1" applyBorder="1" applyProtection="1">
      <protection hidden="1"/>
    </xf>
    <xf numFmtId="0" fontId="0" fillId="3" borderId="11" xfId="0" applyFill="1" applyBorder="1" applyProtection="1">
      <protection hidden="1"/>
    </xf>
    <xf numFmtId="164" fontId="0" fillId="3" borderId="0" xfId="0" applyNumberFormat="1" applyFont="1" applyFill="1" applyBorder="1" applyAlignment="1" applyProtection="1">
      <alignment horizontal="center"/>
      <protection hidden="1"/>
    </xf>
    <xf numFmtId="0" fontId="2" fillId="3" borderId="4" xfId="0" applyFont="1" applyFill="1" applyBorder="1" applyProtection="1">
      <protection hidden="1"/>
    </xf>
    <xf numFmtId="1" fontId="0" fillId="2" borderId="9" xfId="0" applyNumberFormat="1" applyFill="1" applyBorder="1" applyAlignment="1" applyProtection="1">
      <alignment horizontal="center"/>
      <protection locked="0" hidden="1"/>
    </xf>
    <xf numFmtId="2" fontId="0" fillId="3" borderId="0" xfId="0" applyNumberFormat="1" applyFill="1" applyBorder="1" applyAlignment="1" applyProtection="1">
      <alignment horizontal="center"/>
      <protection hidden="1"/>
    </xf>
    <xf numFmtId="2" fontId="0" fillId="3" borderId="0" xfId="0" applyNumberFormat="1" applyFill="1" applyBorder="1" applyAlignment="1" applyProtection="1">
      <alignment horizontal="center" vertical="center"/>
      <protection hidden="1"/>
    </xf>
    <xf numFmtId="1" fontId="5" fillId="2" borderId="5" xfId="0" applyNumberFormat="1" applyFont="1" applyFill="1" applyBorder="1" applyAlignment="1" applyProtection="1">
      <alignment horizontal="center" vertical="center"/>
      <protection locked="0" hidden="1"/>
    </xf>
    <xf numFmtId="2" fontId="0" fillId="3" borderId="0" xfId="0" applyNumberFormat="1" applyFill="1" applyBorder="1" applyAlignment="1" applyProtection="1">
      <alignment horizontal="right" vertical="center"/>
      <protection hidden="1"/>
    </xf>
    <xf numFmtId="2" fontId="12" fillId="3" borderId="10" xfId="0" applyNumberFormat="1" applyFont="1" applyFill="1" applyBorder="1" applyProtection="1">
      <protection hidden="1"/>
    </xf>
    <xf numFmtId="0" fontId="12" fillId="3" borderId="10" xfId="0" applyFont="1" applyFill="1" applyBorder="1" applyProtection="1">
      <protection hidden="1"/>
    </xf>
    <xf numFmtId="0" fontId="0" fillId="3" borderId="4" xfId="0" applyFont="1" applyFill="1" applyBorder="1" applyProtection="1">
      <protection hidden="1"/>
    </xf>
    <xf numFmtId="0" fontId="0" fillId="3" borderId="0" xfId="0" applyFont="1" applyFill="1" applyBorder="1" applyProtection="1">
      <protection hidden="1"/>
    </xf>
    <xf numFmtId="0" fontId="7" fillId="3" borderId="4" xfId="0" applyFont="1" applyFill="1" applyBorder="1" applyAlignment="1" applyProtection="1">
      <alignment vertical="center"/>
      <protection hidden="1"/>
    </xf>
    <xf numFmtId="0" fontId="0" fillId="3" borderId="0" xfId="0" applyFill="1" applyBorder="1" applyAlignment="1" applyProtection="1">
      <alignment horizontal="center"/>
      <protection hidden="1"/>
    </xf>
    <xf numFmtId="1" fontId="5" fillId="2" borderId="8" xfId="0" applyNumberFormat="1" applyFont="1" applyFill="1" applyBorder="1" applyAlignment="1" applyProtection="1">
      <alignment horizontal="center" vertical="center"/>
      <protection locked="0" hidden="1"/>
    </xf>
    <xf numFmtId="0" fontId="2" fillId="3" borderId="4" xfId="0" applyFont="1" applyFill="1" applyBorder="1" applyAlignment="1" applyProtection="1">
      <protection hidden="1"/>
    </xf>
    <xf numFmtId="9" fontId="0" fillId="4" borderId="0" xfId="0" applyNumberFormat="1" applyFill="1" applyProtection="1">
      <protection hidden="1"/>
    </xf>
    <xf numFmtId="1" fontId="5" fillId="2" borderId="9" xfId="0" applyNumberFormat="1" applyFont="1" applyFill="1" applyBorder="1" applyAlignment="1" applyProtection="1">
      <alignment horizontal="center" vertical="center"/>
      <protection locked="0" hidden="1"/>
    </xf>
    <xf numFmtId="1" fontId="12" fillId="3" borderId="0" xfId="0" applyNumberFormat="1" applyFont="1" applyFill="1" applyBorder="1" applyProtection="1">
      <protection hidden="1"/>
    </xf>
    <xf numFmtId="0" fontId="0" fillId="3" borderId="10" xfId="0" applyFont="1" applyFill="1" applyBorder="1" applyProtection="1">
      <protection hidden="1"/>
    </xf>
    <xf numFmtId="0" fontId="0" fillId="3" borderId="7" xfId="0" applyFont="1" applyFill="1" applyBorder="1" applyProtection="1">
      <protection hidden="1"/>
    </xf>
    <xf numFmtId="0" fontId="0" fillId="3" borderId="11" xfId="0" applyFont="1" applyFill="1" applyBorder="1" applyProtection="1">
      <protection hidden="1"/>
    </xf>
    <xf numFmtId="0" fontId="2" fillId="3" borderId="0" xfId="0" applyFont="1" applyFill="1" applyBorder="1" applyProtection="1">
      <protection hidden="1"/>
    </xf>
    <xf numFmtId="164" fontId="0" fillId="3" borderId="7" xfId="0" applyNumberFormat="1" applyFill="1" applyBorder="1" applyProtection="1">
      <protection hidden="1"/>
    </xf>
    <xf numFmtId="0" fontId="2" fillId="0" borderId="0" xfId="0" applyFont="1"/>
    <xf numFmtId="0" fontId="0" fillId="3" borderId="4" xfId="0" applyFont="1" applyFill="1" applyBorder="1" applyAlignment="1" applyProtection="1">
      <alignment vertical="top"/>
      <protection hidden="1"/>
    </xf>
    <xf numFmtId="0" fontId="0" fillId="3" borderId="0" xfId="0" applyFont="1" applyFill="1" applyBorder="1" applyAlignment="1" applyProtection="1">
      <alignment horizontal="center"/>
      <protection hidden="1"/>
    </xf>
    <xf numFmtId="0" fontId="13" fillId="4" borderId="0" xfId="0" applyFont="1" applyFill="1" applyBorder="1" applyProtection="1">
      <protection hidden="1"/>
    </xf>
    <xf numFmtId="1" fontId="12" fillId="3" borderId="4" xfId="0" applyNumberFormat="1" applyFont="1" applyFill="1" applyBorder="1" applyProtection="1">
      <protection hidden="1"/>
    </xf>
    <xf numFmtId="0" fontId="14" fillId="3" borderId="4" xfId="0" applyFont="1" applyFill="1" applyBorder="1" applyProtection="1">
      <protection hidden="1"/>
    </xf>
    <xf numFmtId="0" fontId="2" fillId="3" borderId="4" xfId="0" applyFont="1" applyFill="1" applyBorder="1" applyAlignment="1" applyProtection="1">
      <alignment vertical="center"/>
      <protection hidden="1"/>
    </xf>
    <xf numFmtId="0" fontId="0" fillId="3" borderId="4" xfId="0" applyFill="1" applyBorder="1" applyAlignment="1" applyProtection="1">
      <alignment vertical="top"/>
      <protection hidden="1"/>
    </xf>
    <xf numFmtId="164" fontId="0" fillId="3" borderId="0" xfId="0" applyNumberFormat="1" applyFill="1" applyBorder="1" applyAlignment="1" applyProtection="1">
      <alignment vertical="top"/>
      <protection hidden="1"/>
    </xf>
    <xf numFmtId="0" fontId="0" fillId="3" borderId="0" xfId="0" applyFill="1" applyBorder="1" applyAlignment="1" applyProtection="1">
      <alignment vertical="top"/>
      <protection hidden="1"/>
    </xf>
    <xf numFmtId="0" fontId="0" fillId="3" borderId="0" xfId="0" applyFill="1" applyBorder="1" applyAlignment="1" applyProtection="1">
      <alignment horizontal="center" vertical="top"/>
      <protection hidden="1"/>
    </xf>
    <xf numFmtId="0" fontId="12" fillId="3" borderId="10" xfId="0" applyFont="1" applyFill="1" applyBorder="1" applyAlignment="1" applyProtection="1">
      <alignment vertical="top"/>
      <protection hidden="1"/>
    </xf>
    <xf numFmtId="0" fontId="2" fillId="0" borderId="0" xfId="0" applyFont="1" applyAlignment="1">
      <alignment horizontal="left"/>
    </xf>
    <xf numFmtId="0" fontId="0" fillId="0" borderId="0" xfId="0" applyAlignment="1">
      <alignment horizontal="left"/>
    </xf>
    <xf numFmtId="0" fontId="0" fillId="0" borderId="0" xfId="0" applyFill="1" applyBorder="1" applyAlignment="1">
      <alignment horizontal="left"/>
    </xf>
    <xf numFmtId="0" fontId="0" fillId="0" borderId="0" xfId="0" applyBorder="1" applyAlignment="1">
      <alignment horizontal="left"/>
    </xf>
    <xf numFmtId="164" fontId="0" fillId="3" borderId="0" xfId="0" applyNumberFormat="1" applyFill="1" applyBorder="1" applyAlignment="1" applyProtection="1">
      <alignment horizontal="left" vertical="center"/>
      <protection hidden="1"/>
    </xf>
    <xf numFmtId="2" fontId="2" fillId="3" borderId="0" xfId="0" applyNumberFormat="1" applyFont="1" applyFill="1" applyBorder="1" applyAlignment="1" applyProtection="1">
      <alignment horizontal="center" vertical="center"/>
      <protection hidden="1"/>
    </xf>
    <xf numFmtId="166" fontId="0" fillId="3" borderId="0" xfId="0" applyNumberFormat="1" applyFill="1" applyBorder="1" applyAlignment="1" applyProtection="1">
      <alignment horizontal="right" vertical="center"/>
      <protection hidden="1"/>
    </xf>
    <xf numFmtId="1" fontId="0" fillId="3" borderId="0" xfId="0" applyNumberFormat="1" applyFill="1" applyBorder="1" applyAlignment="1" applyProtection="1">
      <alignment horizontal="right" vertical="center"/>
      <protection hidden="1"/>
    </xf>
    <xf numFmtId="164" fontId="0" fillId="3" borderId="4" xfId="0" applyNumberFormat="1" applyFill="1" applyBorder="1" applyAlignment="1" applyProtection="1">
      <alignment horizontal="left" vertical="center"/>
      <protection hidden="1"/>
    </xf>
    <xf numFmtId="2" fontId="13" fillId="4" borderId="0" xfId="0" applyNumberFormat="1" applyFont="1" applyFill="1" applyBorder="1" applyProtection="1">
      <protection hidden="1"/>
    </xf>
    <xf numFmtId="0" fontId="15" fillId="4" borderId="0" xfId="0" applyFont="1" applyFill="1" applyProtection="1">
      <protection hidden="1"/>
    </xf>
    <xf numFmtId="164" fontId="15" fillId="4" borderId="0" xfId="0" applyNumberFormat="1" applyFont="1" applyFill="1" applyBorder="1" applyAlignment="1" applyProtection="1">
      <alignment horizontal="left" vertical="center"/>
      <protection hidden="1"/>
    </xf>
    <xf numFmtId="164" fontId="0" fillId="4" borderId="0" xfId="0" applyNumberFormat="1" applyFill="1" applyBorder="1" applyAlignment="1" applyProtection="1">
      <alignment horizontal="center"/>
      <protection hidden="1"/>
    </xf>
    <xf numFmtId="0" fontId="9" fillId="5" borderId="1" xfId="0" applyFont="1" applyFill="1" applyBorder="1" applyProtection="1">
      <protection hidden="1"/>
    </xf>
    <xf numFmtId="0" fontId="0" fillId="5" borderId="2" xfId="0" applyFill="1" applyBorder="1" applyProtection="1">
      <protection hidden="1"/>
    </xf>
    <xf numFmtId="164" fontId="0" fillId="5" borderId="2" xfId="0" applyNumberFormat="1" applyFill="1" applyBorder="1" applyProtection="1">
      <protection hidden="1"/>
    </xf>
    <xf numFmtId="0" fontId="0" fillId="5" borderId="3" xfId="0" applyFill="1" applyBorder="1" applyProtection="1">
      <protection hidden="1"/>
    </xf>
    <xf numFmtId="0" fontId="0" fillId="5" borderId="4" xfId="0" applyFill="1" applyBorder="1" applyProtection="1">
      <protection hidden="1"/>
    </xf>
    <xf numFmtId="0" fontId="0" fillId="5" borderId="0" xfId="0" applyFill="1" applyBorder="1" applyProtection="1">
      <protection hidden="1"/>
    </xf>
    <xf numFmtId="164" fontId="0" fillId="5" borderId="0" xfId="0" applyNumberFormat="1" applyFill="1" applyBorder="1" applyProtection="1">
      <protection hidden="1"/>
    </xf>
    <xf numFmtId="0" fontId="0" fillId="5" borderId="10" xfId="0" applyFill="1" applyBorder="1" applyProtection="1">
      <protection hidden="1"/>
    </xf>
    <xf numFmtId="0" fontId="0" fillId="5" borderId="6" xfId="0" applyFill="1" applyBorder="1" applyProtection="1">
      <protection hidden="1"/>
    </xf>
    <xf numFmtId="0" fontId="0" fillId="5" borderId="7" xfId="0" applyFill="1" applyBorder="1" applyProtection="1">
      <protection hidden="1"/>
    </xf>
    <xf numFmtId="164" fontId="0" fillId="5" borderId="7" xfId="0" applyNumberFormat="1" applyFill="1" applyBorder="1" applyProtection="1">
      <protection hidden="1"/>
    </xf>
    <xf numFmtId="0" fontId="0" fillId="5" borderId="11" xfId="0" applyFill="1" applyBorder="1" applyProtection="1">
      <protection hidden="1"/>
    </xf>
    <xf numFmtId="0" fontId="2" fillId="5" borderId="0" xfId="0" applyFont="1" applyFill="1" applyBorder="1" applyAlignment="1" applyProtection="1">
      <alignment horizontal="center" wrapText="1"/>
      <protection hidden="1"/>
    </xf>
    <xf numFmtId="0" fontId="2" fillId="5" borderId="10" xfId="0" applyFont="1" applyFill="1" applyBorder="1" applyAlignment="1" applyProtection="1">
      <alignment horizontal="center" wrapText="1"/>
      <protection hidden="1"/>
    </xf>
    <xf numFmtId="164" fontId="0" fillId="5" borderId="0" xfId="0" applyNumberFormat="1" applyFill="1" applyBorder="1" applyAlignment="1" applyProtection="1">
      <alignment horizontal="center"/>
      <protection hidden="1"/>
    </xf>
    <xf numFmtId="164" fontId="0" fillId="5" borderId="10" xfId="0" applyNumberFormat="1" applyFill="1" applyBorder="1" applyAlignment="1" applyProtection="1">
      <alignment horizontal="center" vertical="center"/>
      <protection hidden="1"/>
    </xf>
    <xf numFmtId="164" fontId="0" fillId="5" borderId="10" xfId="0" applyNumberFormat="1" applyFill="1" applyBorder="1" applyProtection="1">
      <protection hidden="1"/>
    </xf>
    <xf numFmtId="0" fontId="2" fillId="5" borderId="4" xfId="0" applyFont="1" applyFill="1" applyBorder="1" applyAlignment="1" applyProtection="1">
      <alignment wrapText="1"/>
      <protection hidden="1"/>
    </xf>
    <xf numFmtId="0" fontId="2" fillId="5" borderId="0" xfId="0" applyFont="1" applyFill="1" applyBorder="1" applyAlignment="1" applyProtection="1">
      <alignment horizontal="center"/>
      <protection hidden="1"/>
    </xf>
    <xf numFmtId="164" fontId="2" fillId="5" borderId="0" xfId="0" applyNumberFormat="1" applyFont="1" applyFill="1" applyBorder="1" applyAlignment="1" applyProtection="1">
      <alignment horizontal="center"/>
      <protection hidden="1"/>
    </xf>
    <xf numFmtId="1" fontId="2" fillId="5" borderId="0" xfId="0" applyNumberFormat="1" applyFont="1" applyFill="1" applyBorder="1" applyAlignment="1" applyProtection="1">
      <alignment horizontal="center"/>
      <protection hidden="1"/>
    </xf>
    <xf numFmtId="164" fontId="0" fillId="5" borderId="0" xfId="0" applyNumberFormat="1" applyFill="1" applyBorder="1" applyAlignment="1" applyProtection="1">
      <alignment horizontal="center" vertical="center"/>
      <protection hidden="1"/>
    </xf>
    <xf numFmtId="164" fontId="0" fillId="5" borderId="0" xfId="0" applyNumberFormat="1" applyFont="1" applyFill="1" applyBorder="1" applyAlignment="1" applyProtection="1">
      <alignment horizontal="center"/>
      <protection hidden="1"/>
    </xf>
    <xf numFmtId="0" fontId="2" fillId="5" borderId="4" xfId="0" applyFont="1" applyFill="1" applyBorder="1" applyProtection="1">
      <protection hidden="1"/>
    </xf>
    <xf numFmtId="0" fontId="7" fillId="5" borderId="4" xfId="0" applyFont="1" applyFill="1" applyBorder="1" applyAlignment="1" applyProtection="1">
      <alignment vertical="center"/>
      <protection hidden="1"/>
    </xf>
    <xf numFmtId="0" fontId="0" fillId="5" borderId="0" xfId="0" applyFill="1" applyBorder="1" applyAlignment="1" applyProtection="1">
      <alignment horizontal="center"/>
      <protection hidden="1"/>
    </xf>
    <xf numFmtId="164" fontId="0" fillId="5" borderId="4" xfId="0" applyNumberFormat="1" applyFill="1" applyBorder="1" applyAlignment="1" applyProtection="1">
      <alignment horizontal="left" vertical="center"/>
      <protection hidden="1"/>
    </xf>
    <xf numFmtId="164" fontId="2" fillId="5" borderId="4" xfId="0" applyNumberFormat="1" applyFont="1" applyFill="1" applyBorder="1" applyProtection="1">
      <protection hidden="1"/>
    </xf>
    <xf numFmtId="0" fontId="2" fillId="5" borderId="0" xfId="0" applyFont="1" applyFill="1" applyBorder="1" applyProtection="1">
      <protection hidden="1"/>
    </xf>
    <xf numFmtId="0" fontId="3" fillId="5" borderId="4" xfId="0" applyFont="1" applyFill="1" applyBorder="1" applyProtection="1">
      <protection hidden="1"/>
    </xf>
    <xf numFmtId="0" fontId="14" fillId="5" borderId="6" xfId="0" applyFont="1" applyFill="1" applyBorder="1" applyProtection="1">
      <protection hidden="1"/>
    </xf>
    <xf numFmtId="1" fontId="2" fillId="5" borderId="13" xfId="0" applyNumberFormat="1" applyFont="1" applyFill="1" applyBorder="1" applyAlignment="1" applyProtection="1">
      <alignment horizontal="center"/>
      <protection hidden="1"/>
    </xf>
    <xf numFmtId="164" fontId="0" fillId="5" borderId="0" xfId="0" applyNumberFormat="1" applyFill="1" applyBorder="1" applyAlignment="1" applyProtection="1">
      <alignment horizontal="left" vertical="center"/>
      <protection hidden="1"/>
    </xf>
    <xf numFmtId="2" fontId="0" fillId="5" borderId="0" xfId="0" applyNumberFormat="1" applyFont="1" applyFill="1" applyBorder="1" applyAlignment="1" applyProtection="1">
      <alignment horizontal="center" vertical="center"/>
      <protection hidden="1"/>
    </xf>
    <xf numFmtId="0" fontId="0" fillId="5" borderId="4" xfId="0" applyFont="1" applyFill="1" applyBorder="1" applyProtection="1">
      <protection hidden="1"/>
    </xf>
    <xf numFmtId="0" fontId="0" fillId="5" borderId="0" xfId="0" applyFont="1" applyFill="1" applyBorder="1" applyProtection="1">
      <protection hidden="1"/>
    </xf>
    <xf numFmtId="0" fontId="14" fillId="5" borderId="4" xfId="0" applyFont="1" applyFill="1" applyBorder="1" applyProtection="1">
      <protection hidden="1"/>
    </xf>
    <xf numFmtId="0" fontId="0" fillId="5" borderId="7" xfId="0" applyFont="1" applyFill="1" applyBorder="1" applyProtection="1">
      <protection hidden="1"/>
    </xf>
    <xf numFmtId="0" fontId="2" fillId="5" borderId="4" xfId="0" applyFont="1" applyFill="1" applyBorder="1" applyAlignment="1" applyProtection="1">
      <alignment horizontal="right" vertical="center" wrapText="1"/>
      <protection hidden="1"/>
    </xf>
    <xf numFmtId="0" fontId="2" fillId="5" borderId="0" xfId="0" applyFont="1" applyFill="1" applyBorder="1" applyAlignment="1" applyProtection="1">
      <alignment horizontal="right" vertical="center" wrapText="1"/>
      <protection hidden="1"/>
    </xf>
    <xf numFmtId="0" fontId="2" fillId="5" borderId="10" xfId="0" applyFont="1" applyFill="1" applyBorder="1" applyProtection="1">
      <protection hidden="1"/>
    </xf>
    <xf numFmtId="0" fontId="11" fillId="5" borderId="10" xfId="0" applyFont="1" applyFill="1" applyBorder="1" applyProtection="1">
      <protection hidden="1"/>
    </xf>
    <xf numFmtId="0" fontId="12" fillId="5" borderId="10" xfId="0" applyFont="1" applyFill="1" applyBorder="1" applyProtection="1">
      <protection hidden="1"/>
    </xf>
    <xf numFmtId="2" fontId="0" fillId="5" borderId="0" xfId="0" applyNumberFormat="1" applyFill="1" applyBorder="1" applyAlignment="1" applyProtection="1">
      <alignment horizontal="center" vertical="center"/>
      <protection hidden="1"/>
    </xf>
    <xf numFmtId="0" fontId="0" fillId="5" borderId="0" xfId="0" applyFont="1" applyFill="1" applyBorder="1" applyAlignment="1" applyProtection="1">
      <alignment horizontal="center"/>
      <protection hidden="1"/>
    </xf>
    <xf numFmtId="2" fontId="12" fillId="5" borderId="10" xfId="0" applyNumberFormat="1" applyFont="1" applyFill="1" applyBorder="1" applyProtection="1">
      <protection hidden="1"/>
    </xf>
    <xf numFmtId="0" fontId="0" fillId="5" borderId="0" xfId="0" applyFill="1" applyBorder="1" applyAlignment="1" applyProtection="1">
      <alignment horizontal="center" vertical="top"/>
      <protection hidden="1"/>
    </xf>
    <xf numFmtId="0" fontId="0" fillId="5" borderId="0" xfId="0" applyFill="1" applyBorder="1" applyAlignment="1" applyProtection="1">
      <alignment vertical="top"/>
      <protection hidden="1"/>
    </xf>
    <xf numFmtId="0" fontId="12" fillId="5" borderId="10" xfId="0" applyFont="1" applyFill="1" applyBorder="1" applyAlignment="1" applyProtection="1">
      <alignment vertical="top"/>
      <protection hidden="1"/>
    </xf>
    <xf numFmtId="2" fontId="0" fillId="5" borderId="0" xfId="0" applyNumberFormat="1" applyFill="1" applyBorder="1" applyAlignment="1" applyProtection="1">
      <alignment horizontal="center"/>
      <protection hidden="1"/>
    </xf>
    <xf numFmtId="0" fontId="0" fillId="5" borderId="10" xfId="0" applyFont="1" applyFill="1" applyBorder="1" applyProtection="1">
      <protection hidden="1"/>
    </xf>
    <xf numFmtId="0" fontId="0" fillId="5" borderId="11" xfId="0" applyFont="1" applyFill="1" applyBorder="1" applyProtection="1">
      <protection hidden="1"/>
    </xf>
    <xf numFmtId="0" fontId="0" fillId="5" borderId="4" xfId="0" applyFill="1" applyBorder="1" applyAlignment="1" applyProtection="1">
      <alignment vertical="top"/>
      <protection hidden="1"/>
    </xf>
    <xf numFmtId="164" fontId="0" fillId="5" borderId="0" xfId="0" applyNumberFormat="1" applyFill="1" applyBorder="1" applyAlignment="1" applyProtection="1">
      <alignment vertical="top"/>
      <protection hidden="1"/>
    </xf>
    <xf numFmtId="0" fontId="0" fillId="5" borderId="4" xfId="0" applyFont="1" applyFill="1" applyBorder="1" applyAlignment="1" applyProtection="1">
      <alignment vertical="top"/>
      <protection hidden="1"/>
    </xf>
    <xf numFmtId="2" fontId="0" fillId="5" borderId="0" xfId="0" applyNumberFormat="1" applyFill="1" applyBorder="1" applyAlignment="1" applyProtection="1">
      <alignment horizontal="right" vertical="center"/>
      <protection hidden="1"/>
    </xf>
    <xf numFmtId="0" fontId="2" fillId="5" borderId="4" xfId="0" applyFont="1" applyFill="1" applyBorder="1" applyAlignment="1" applyProtection="1">
      <protection hidden="1"/>
    </xf>
    <xf numFmtId="0" fontId="2" fillId="5" borderId="4" xfId="0" applyFont="1" applyFill="1" applyBorder="1" applyAlignment="1" applyProtection="1">
      <alignment vertical="center"/>
      <protection hidden="1"/>
    </xf>
    <xf numFmtId="164" fontId="0" fillId="5" borderId="0" xfId="0" applyNumberFormat="1" applyFont="1" applyFill="1" applyBorder="1" applyProtection="1">
      <protection hidden="1"/>
    </xf>
    <xf numFmtId="2" fontId="4" fillId="5" borderId="0" xfId="0" applyNumberFormat="1" applyFont="1" applyFill="1" applyBorder="1" applyAlignment="1" applyProtection="1">
      <alignment horizontal="center" vertical="center"/>
      <protection hidden="1"/>
    </xf>
    <xf numFmtId="164" fontId="0" fillId="5" borderId="0" xfId="0" applyNumberFormat="1" applyFont="1" applyFill="1" applyBorder="1" applyAlignment="1" applyProtection="1">
      <alignment horizontal="left" vertical="center"/>
      <protection hidden="1"/>
    </xf>
    <xf numFmtId="1" fontId="16" fillId="5" borderId="0" xfId="0" applyNumberFormat="1" applyFont="1" applyFill="1" applyBorder="1" applyProtection="1">
      <protection hidden="1"/>
    </xf>
    <xf numFmtId="1" fontId="16" fillId="5" borderId="4" xfId="0" applyNumberFormat="1" applyFont="1" applyFill="1" applyBorder="1" applyProtection="1">
      <protection hidden="1"/>
    </xf>
    <xf numFmtId="164" fontId="4" fillId="5" borderId="0" xfId="0" applyNumberFormat="1" applyFont="1" applyFill="1" applyBorder="1" applyAlignment="1" applyProtection="1">
      <alignment horizontal="left" vertical="center"/>
      <protection hidden="1"/>
    </xf>
    <xf numFmtId="2" fontId="2" fillId="5" borderId="10" xfId="0" applyNumberFormat="1" applyFont="1" applyFill="1" applyBorder="1" applyAlignment="1" applyProtection="1">
      <alignment horizontal="center" vertical="center"/>
      <protection hidden="1"/>
    </xf>
    <xf numFmtId="2" fontId="0" fillId="5" borderId="10" xfId="0" applyNumberFormat="1" applyFont="1" applyFill="1" applyBorder="1" applyAlignment="1" applyProtection="1">
      <alignment horizontal="center" vertical="center"/>
      <protection hidden="1"/>
    </xf>
    <xf numFmtId="164" fontId="0" fillId="0" borderId="0" xfId="0" applyNumberFormat="1" applyFill="1" applyBorder="1" applyAlignment="1" applyProtection="1">
      <alignment horizontal="left" vertical="center"/>
      <protection hidden="1"/>
    </xf>
    <xf numFmtId="9" fontId="0" fillId="0" borderId="0" xfId="1" applyFont="1" applyBorder="1"/>
    <xf numFmtId="43" fontId="0" fillId="0" borderId="0" xfId="3" applyFont="1" applyBorder="1"/>
    <xf numFmtId="0" fontId="2" fillId="6" borderId="0" xfId="0" applyFont="1" applyFill="1" applyBorder="1"/>
    <xf numFmtId="9" fontId="0" fillId="6" borderId="0" xfId="1" applyFont="1" applyFill="1" applyBorder="1"/>
    <xf numFmtId="0" fontId="0" fillId="6" borderId="0" xfId="0" applyFill="1" applyBorder="1"/>
    <xf numFmtId="43" fontId="0" fillId="6" borderId="0" xfId="3" applyFont="1" applyFill="1" applyBorder="1"/>
    <xf numFmtId="0" fontId="0" fillId="7" borderId="0" xfId="0" applyFill="1" applyBorder="1"/>
    <xf numFmtId="0" fontId="0" fillId="7" borderId="0" xfId="0" applyFill="1" applyBorder="1" applyProtection="1">
      <protection hidden="1"/>
    </xf>
    <xf numFmtId="164" fontId="15" fillId="7" borderId="0" xfId="0" applyNumberFormat="1" applyFont="1" applyFill="1" applyBorder="1" applyAlignment="1" applyProtection="1">
      <alignment horizontal="left" vertical="center"/>
      <protection hidden="1"/>
    </xf>
    <xf numFmtId="164" fontId="0" fillId="7" borderId="0" xfId="0" applyNumberFormat="1" applyFill="1" applyBorder="1" applyAlignment="1" applyProtection="1">
      <alignment horizontal="center" vertical="center"/>
      <protection hidden="1"/>
    </xf>
    <xf numFmtId="164" fontId="0" fillId="7" borderId="0" xfId="0" applyNumberFormat="1" applyFill="1" applyBorder="1" applyAlignment="1" applyProtection="1">
      <alignment horizontal="center"/>
      <protection hidden="1"/>
    </xf>
    <xf numFmtId="164" fontId="0" fillId="7" borderId="0" xfId="0" applyNumberFormat="1" applyFont="1" applyFill="1" applyBorder="1" applyAlignment="1" applyProtection="1">
      <alignment horizontal="center"/>
      <protection hidden="1"/>
    </xf>
    <xf numFmtId="0" fontId="0" fillId="7" borderId="0" xfId="0" applyFill="1" applyBorder="1" applyAlignment="1" applyProtection="1">
      <alignment horizontal="center"/>
      <protection hidden="1"/>
    </xf>
    <xf numFmtId="0" fontId="0" fillId="7" borderId="0" xfId="0" applyFill="1" applyBorder="1" applyAlignment="1">
      <alignment horizontal="left"/>
    </xf>
    <xf numFmtId="164" fontId="0" fillId="7" borderId="0" xfId="0" applyNumberFormat="1" applyFill="1" applyBorder="1" applyAlignment="1" applyProtection="1">
      <alignment horizontal="left" vertical="center"/>
      <protection hidden="1"/>
    </xf>
    <xf numFmtId="0" fontId="15" fillId="7" borderId="0" xfId="0" applyFont="1" applyFill="1" applyBorder="1" applyProtection="1">
      <protection hidden="1"/>
    </xf>
    <xf numFmtId="0" fontId="7" fillId="7" borderId="0" xfId="0" applyFont="1" applyFill="1" applyBorder="1" applyAlignment="1" applyProtection="1">
      <alignment vertical="center"/>
      <protection hidden="1"/>
    </xf>
    <xf numFmtId="0" fontId="2" fillId="0" borderId="0" xfId="0" applyFont="1" applyFill="1" applyBorder="1"/>
    <xf numFmtId="0" fontId="0" fillId="0" borderId="0" xfId="0" applyFont="1" applyFill="1" applyBorder="1"/>
    <xf numFmtId="0" fontId="15" fillId="4" borderId="0" xfId="0" applyFont="1" applyFill="1" applyBorder="1" applyProtection="1">
      <protection hidden="1"/>
    </xf>
    <xf numFmtId="0" fontId="17" fillId="4" borderId="0" xfId="0" applyFont="1" applyFill="1" applyBorder="1" applyAlignment="1" applyProtection="1">
      <alignment horizontal="right"/>
      <protection hidden="1"/>
    </xf>
    <xf numFmtId="0" fontId="15" fillId="4" borderId="0" xfId="0" applyFont="1" applyFill="1" applyAlignment="1" applyProtection="1">
      <alignment horizontal="right"/>
      <protection hidden="1"/>
    </xf>
    <xf numFmtId="164" fontId="15" fillId="4" borderId="0" xfId="0" applyNumberFormat="1" applyFont="1" applyFill="1" applyBorder="1" applyAlignment="1" applyProtection="1">
      <alignment horizontal="right" vertical="center"/>
      <protection hidden="1"/>
    </xf>
    <xf numFmtId="0" fontId="0" fillId="4" borderId="0" xfId="0" applyFill="1" applyAlignment="1" applyProtection="1">
      <alignment horizontal="right"/>
      <protection hidden="1"/>
    </xf>
    <xf numFmtId="164" fontId="0" fillId="2" borderId="5" xfId="0" applyNumberFormat="1" applyFill="1" applyBorder="1" applyAlignment="1" applyProtection="1">
      <alignment horizontal="center"/>
      <protection locked="0" hidden="1"/>
    </xf>
    <xf numFmtId="0" fontId="0" fillId="0" borderId="0" xfId="0" applyFill="1"/>
    <xf numFmtId="1" fontId="0" fillId="2" borderId="5" xfId="0" applyNumberFormat="1" applyFill="1" applyBorder="1" applyAlignment="1" applyProtection="1">
      <alignment horizontal="left"/>
      <protection locked="0" hidden="1"/>
    </xf>
    <xf numFmtId="2" fontId="5" fillId="2" borderId="5" xfId="0" applyNumberFormat="1" applyFont="1" applyFill="1" applyBorder="1" applyAlignment="1" applyProtection="1">
      <alignment horizontal="center" vertical="center"/>
      <protection locked="0" hidden="1"/>
    </xf>
    <xf numFmtId="0" fontId="18" fillId="6" borderId="0" xfId="0" applyFont="1" applyFill="1" applyBorder="1" applyAlignment="1">
      <alignment vertical="top"/>
    </xf>
    <xf numFmtId="0" fontId="2" fillId="6" borderId="0" xfId="0" applyFont="1" applyFill="1" applyBorder="1" applyAlignment="1">
      <alignment vertical="top"/>
    </xf>
    <xf numFmtId="0" fontId="2" fillId="0" borderId="0" xfId="0" applyFont="1" applyBorder="1" applyAlignment="1">
      <alignment vertical="top"/>
    </xf>
    <xf numFmtId="0" fontId="0" fillId="7" borderId="0" xfId="0" applyFill="1" applyBorder="1" applyAlignment="1">
      <alignment vertical="top"/>
    </xf>
    <xf numFmtId="164" fontId="2" fillId="7" borderId="0" xfId="0" applyNumberFormat="1" applyFont="1" applyFill="1" applyBorder="1" applyAlignment="1" applyProtection="1">
      <alignment horizontal="left" vertical="top"/>
      <protection hidden="1"/>
    </xf>
    <xf numFmtId="0" fontId="2" fillId="7" borderId="0" xfId="0" applyFont="1" applyFill="1" applyBorder="1" applyAlignment="1" applyProtection="1">
      <alignment horizontal="center" vertical="top"/>
      <protection hidden="1"/>
    </xf>
    <xf numFmtId="164" fontId="2" fillId="7" borderId="0" xfId="0" applyNumberFormat="1" applyFont="1" applyFill="1" applyBorder="1" applyAlignment="1" applyProtection="1">
      <alignment horizontal="center" vertical="top"/>
      <protection hidden="1"/>
    </xf>
    <xf numFmtId="0" fontId="2" fillId="7" borderId="0" xfId="0" applyFont="1" applyFill="1" applyBorder="1" applyAlignment="1">
      <alignment vertical="top"/>
    </xf>
    <xf numFmtId="0" fontId="0" fillId="0" borderId="0" xfId="0" applyBorder="1" applyAlignment="1">
      <alignment vertical="top"/>
    </xf>
    <xf numFmtId="1" fontId="0" fillId="3" borderId="0" xfId="0" applyNumberFormat="1" applyFill="1" applyBorder="1" applyAlignment="1" applyProtection="1">
      <alignment horizontal="right" vertical="top"/>
      <protection hidden="1"/>
    </xf>
    <xf numFmtId="164" fontId="2" fillId="3" borderId="0" xfId="0" applyNumberFormat="1" applyFont="1" applyFill="1" applyBorder="1" applyAlignment="1" applyProtection="1">
      <alignment horizontal="left" vertical="top"/>
      <protection hidden="1"/>
    </xf>
    <xf numFmtId="164" fontId="2" fillId="3" borderId="0" xfId="0" applyNumberFormat="1" applyFont="1" applyFill="1" applyBorder="1" applyAlignment="1" applyProtection="1">
      <alignment horizontal="center" vertical="top"/>
      <protection hidden="1"/>
    </xf>
    <xf numFmtId="0" fontId="2" fillId="3" borderId="0" xfId="0" applyFont="1" applyFill="1" applyBorder="1" applyAlignment="1">
      <alignment vertical="top"/>
    </xf>
    <xf numFmtId="0" fontId="2" fillId="4" borderId="0" xfId="0" applyFont="1" applyFill="1" applyBorder="1" applyAlignment="1" applyProtection="1">
      <alignment horizontal="right"/>
      <protection hidden="1"/>
    </xf>
    <xf numFmtId="0" fontId="2" fillId="4" borderId="0" xfId="0" applyFont="1" applyFill="1" applyBorder="1" applyAlignment="1" applyProtection="1">
      <protection hidden="1"/>
    </xf>
    <xf numFmtId="0" fontId="0" fillId="4" borderId="0" xfId="0" applyFill="1" applyBorder="1" applyAlignment="1" applyProtection="1">
      <protection hidden="1"/>
    </xf>
    <xf numFmtId="0" fontId="15" fillId="0" borderId="0" xfId="0" applyFont="1" applyFill="1" applyBorder="1"/>
    <xf numFmtId="0" fontId="2" fillId="0" borderId="0" xfId="0" applyFont="1" applyFill="1" applyBorder="1" applyAlignment="1">
      <alignment vertical="top"/>
    </xf>
    <xf numFmtId="0" fontId="2" fillId="3" borderId="0" xfId="0" applyNumberFormat="1" applyFont="1" applyFill="1" applyBorder="1" applyAlignment="1">
      <alignment vertical="top"/>
    </xf>
    <xf numFmtId="0" fontId="0" fillId="3" borderId="0" xfId="0" applyNumberFormat="1" applyFill="1" applyBorder="1" applyAlignment="1" applyProtection="1">
      <alignment horizontal="left" vertical="center"/>
      <protection hidden="1"/>
    </xf>
    <xf numFmtId="0" fontId="0" fillId="0" borderId="0" xfId="0" applyNumberFormat="1" applyBorder="1"/>
    <xf numFmtId="0" fontId="0" fillId="0" borderId="0" xfId="0" applyNumberFormat="1" applyFill="1" applyBorder="1"/>
    <xf numFmtId="0" fontId="0" fillId="0" borderId="0" xfId="0" applyNumberFormat="1" applyFill="1" applyBorder="1" applyAlignment="1" applyProtection="1">
      <alignment horizontal="left" vertical="center"/>
      <protection hidden="1"/>
    </xf>
    <xf numFmtId="0" fontId="2" fillId="0" borderId="0" xfId="0" applyFont="1" applyBorder="1"/>
    <xf numFmtId="0" fontId="0" fillId="8" borderId="0" xfId="0" applyNumberFormat="1" applyFill="1" applyBorder="1" applyAlignment="1" applyProtection="1">
      <alignment horizontal="left" vertical="center"/>
      <protection hidden="1"/>
    </xf>
    <xf numFmtId="0" fontId="21" fillId="10" borderId="17" xfId="0" applyFont="1" applyFill="1" applyBorder="1" applyAlignment="1">
      <alignment horizontal="left" vertical="center" wrapText="1"/>
    </xf>
    <xf numFmtId="0" fontId="21" fillId="10" borderId="18" xfId="0" applyFont="1" applyFill="1" applyBorder="1" applyAlignment="1">
      <alignment horizontal="left" vertical="center" wrapText="1"/>
    </xf>
    <xf numFmtId="0" fontId="23" fillId="9" borderId="19" xfId="0" applyFont="1" applyFill="1" applyBorder="1" applyAlignment="1">
      <alignment horizontal="left" vertical="top" wrapText="1"/>
    </xf>
    <xf numFmtId="0" fontId="23" fillId="11" borderId="19" xfId="0" applyFont="1" applyFill="1" applyBorder="1" applyAlignment="1">
      <alignment horizontal="left" vertical="top" wrapText="1"/>
    </xf>
    <xf numFmtId="0" fontId="24" fillId="0" borderId="0" xfId="0" applyFont="1"/>
    <xf numFmtId="0" fontId="0" fillId="0" borderId="5" xfId="0" applyBorder="1"/>
    <xf numFmtId="1" fontId="0" fillId="0" borderId="5" xfId="0" applyNumberFormat="1" applyBorder="1"/>
    <xf numFmtId="3" fontId="0" fillId="0" borderId="5" xfId="0" applyNumberFormat="1" applyBorder="1"/>
    <xf numFmtId="167" fontId="0" fillId="0" borderId="5" xfId="0" applyNumberFormat="1" applyBorder="1"/>
    <xf numFmtId="0" fontId="0" fillId="0" borderId="20" xfId="0" applyBorder="1"/>
    <xf numFmtId="0" fontId="0" fillId="0" borderId="14" xfId="0" applyBorder="1"/>
    <xf numFmtId="0" fontId="0" fillId="0" borderId="15" xfId="0" applyBorder="1"/>
    <xf numFmtId="0" fontId="0" fillId="0" borderId="16" xfId="0" applyBorder="1"/>
    <xf numFmtId="0" fontId="26" fillId="0" borderId="0" xfId="0" applyFont="1"/>
    <xf numFmtId="0" fontId="27" fillId="0" borderId="0" xfId="0" applyFont="1"/>
    <xf numFmtId="14" fontId="0" fillId="0" borderId="0" xfId="0" applyNumberFormat="1"/>
    <xf numFmtId="14" fontId="0" fillId="0" borderId="0" xfId="0" applyNumberFormat="1" applyAlignment="1">
      <alignment horizontal="left"/>
    </xf>
    <xf numFmtId="168" fontId="26" fillId="0" borderId="0" xfId="0" applyNumberFormat="1" applyFont="1"/>
    <xf numFmtId="169" fontId="26" fillId="0" borderId="0" xfId="0" applyNumberFormat="1" applyFont="1" applyAlignment="1">
      <alignment horizontal="centerContinuous"/>
    </xf>
    <xf numFmtId="170" fontId="26" fillId="0" borderId="0" xfId="0" applyNumberFormat="1" applyFont="1"/>
    <xf numFmtId="0" fontId="26" fillId="0" borderId="20" xfId="0" applyFont="1" applyBorder="1" applyAlignment="1">
      <alignment horizontal="center"/>
    </xf>
    <xf numFmtId="171" fontId="26" fillId="0" borderId="0" xfId="0" applyNumberFormat="1" applyFont="1" applyAlignment="1">
      <alignment horizontal="right"/>
    </xf>
    <xf numFmtId="172" fontId="0" fillId="0" borderId="0" xfId="0" applyNumberFormat="1"/>
    <xf numFmtId="0" fontId="0" fillId="0" borderId="20" xfId="0" applyBorder="1" applyAlignment="1">
      <alignment horizontal="center"/>
    </xf>
    <xf numFmtId="171" fontId="0" fillId="0" borderId="20" xfId="0" applyNumberFormat="1" applyBorder="1" applyAlignment="1">
      <alignment horizontal="center"/>
    </xf>
    <xf numFmtId="0" fontId="26" fillId="0" borderId="0" xfId="0" applyFont="1" applyAlignment="1">
      <alignment horizontal="right"/>
    </xf>
    <xf numFmtId="0" fontId="0" fillId="12" borderId="20" xfId="0" applyFill="1" applyBorder="1" applyAlignment="1">
      <alignment horizontal="center"/>
    </xf>
    <xf numFmtId="171" fontId="0" fillId="0" borderId="0" xfId="0" applyNumberFormat="1" applyAlignment="1">
      <alignment horizontal="center"/>
    </xf>
    <xf numFmtId="2" fontId="26" fillId="0" borderId="0" xfId="0" applyNumberFormat="1" applyFont="1"/>
    <xf numFmtId="173" fontId="26" fillId="0" borderId="0" xfId="0" applyNumberFormat="1" applyFont="1" applyAlignment="1">
      <alignment horizontal="centerContinuous" vertical="center"/>
    </xf>
    <xf numFmtId="0" fontId="0" fillId="0" borderId="0" xfId="0" applyAlignment="1">
      <alignment horizontal="center"/>
    </xf>
    <xf numFmtId="168" fontId="26" fillId="0" borderId="20" xfId="0" applyNumberFormat="1" applyFont="1" applyBorder="1"/>
    <xf numFmtId="170" fontId="26" fillId="0" borderId="20" xfId="0" applyNumberFormat="1" applyFont="1" applyBorder="1" applyAlignment="1">
      <alignment horizontal="centerContinuous"/>
    </xf>
    <xf numFmtId="168" fontId="26" fillId="0" borderId="21" xfId="0" applyNumberFormat="1" applyFont="1" applyBorder="1" applyAlignment="1">
      <alignment horizontal="centerContinuous"/>
    </xf>
    <xf numFmtId="169" fontId="26" fillId="0" borderId="22" xfId="0" applyNumberFormat="1" applyFont="1" applyBorder="1" applyAlignment="1">
      <alignment horizontal="centerContinuous"/>
    </xf>
    <xf numFmtId="0" fontId="25" fillId="0" borderId="0" xfId="0" applyFont="1"/>
    <xf numFmtId="169" fontId="25" fillId="0" borderId="0" xfId="0" applyNumberFormat="1" applyFont="1" applyAlignment="1">
      <alignment horizontal="left"/>
    </xf>
    <xf numFmtId="173" fontId="26" fillId="12" borderId="21" xfId="0" applyNumberFormat="1" applyFont="1" applyFill="1" applyBorder="1" applyAlignment="1" applyProtection="1">
      <alignment horizontal="centerContinuous" vertical="center"/>
      <protection locked="0"/>
    </xf>
    <xf numFmtId="172" fontId="0" fillId="12" borderId="23" xfId="0" applyNumberFormat="1" applyFill="1" applyBorder="1" applyAlignment="1">
      <alignment horizontal="centerContinuous"/>
    </xf>
    <xf numFmtId="0" fontId="26" fillId="0" borderId="20" xfId="0" applyFont="1" applyBorder="1"/>
    <xf numFmtId="0" fontId="0" fillId="0" borderId="20" xfId="0" applyBorder="1" applyAlignment="1">
      <alignment horizontal="left"/>
    </xf>
    <xf numFmtId="174" fontId="0" fillId="0" borderId="20" xfId="0" applyNumberFormat="1" applyBorder="1" applyAlignment="1">
      <alignment horizontal="center"/>
    </xf>
    <xf numFmtId="175" fontId="0" fillId="0" borderId="20" xfId="0" applyNumberFormat="1" applyBorder="1" applyAlignment="1">
      <alignment horizontal="center"/>
    </xf>
    <xf numFmtId="176" fontId="0" fillId="0" borderId="20" xfId="0" applyNumberFormat="1" applyBorder="1" applyAlignment="1">
      <alignment horizontal="center"/>
    </xf>
    <xf numFmtId="177" fontId="0" fillId="12" borderId="20" xfId="0" applyNumberFormat="1" applyFill="1" applyBorder="1" applyAlignment="1" applyProtection="1">
      <alignment horizontal="center"/>
      <protection locked="0"/>
    </xf>
    <xf numFmtId="0" fontId="0" fillId="12" borderId="20" xfId="0" applyFill="1" applyBorder="1" applyAlignment="1" applyProtection="1">
      <alignment horizontal="center"/>
      <protection locked="0"/>
    </xf>
    <xf numFmtId="178" fontId="0" fillId="12" borderId="20" xfId="0" applyNumberFormat="1" applyFill="1" applyBorder="1" applyAlignment="1" applyProtection="1">
      <alignment horizontal="center"/>
      <protection locked="0"/>
    </xf>
    <xf numFmtId="179" fontId="0" fillId="0" borderId="20" xfId="0" applyNumberFormat="1" applyBorder="1" applyAlignment="1">
      <alignment horizontal="center"/>
    </xf>
    <xf numFmtId="180" fontId="0" fillId="0" borderId="20" xfId="0" applyNumberFormat="1" applyBorder="1" applyAlignment="1">
      <alignment horizontal="center"/>
    </xf>
    <xf numFmtId="181" fontId="26" fillId="0" borderId="21" xfId="0" applyNumberFormat="1" applyFont="1" applyBorder="1" applyAlignment="1">
      <alignment horizontal="centerContinuous"/>
    </xf>
    <xf numFmtId="168" fontId="26" fillId="0" borderId="20" xfId="0" applyNumberFormat="1" applyFont="1" applyBorder="1" applyAlignment="1">
      <alignment horizontal="centerContinuous"/>
    </xf>
    <xf numFmtId="170" fontId="26" fillId="0" borderId="21" xfId="0" applyNumberFormat="1" applyFont="1" applyBorder="1"/>
    <xf numFmtId="169" fontId="26" fillId="0" borderId="21" xfId="0" applyNumberFormat="1" applyFont="1" applyBorder="1" applyAlignment="1">
      <alignment horizontal="centerContinuous"/>
    </xf>
    <xf numFmtId="0" fontId="0" fillId="0" borderId="23" xfId="0" applyBorder="1" applyAlignment="1">
      <alignment horizontal="centerContinuous"/>
    </xf>
    <xf numFmtId="0" fontId="0" fillId="4" borderId="0" xfId="0" applyFill="1" applyBorder="1" applyProtection="1">
      <protection locked="0" hidden="1"/>
    </xf>
    <xf numFmtId="0" fontId="6" fillId="4" borderId="0" xfId="2" applyFill="1" applyBorder="1" applyProtection="1">
      <protection locked="0" hidden="1"/>
    </xf>
    <xf numFmtId="0" fontId="20" fillId="4" borderId="0" xfId="0" applyFont="1" applyFill="1" applyAlignment="1" applyProtection="1">
      <alignment vertical="top"/>
      <protection hidden="1"/>
    </xf>
    <xf numFmtId="0" fontId="20" fillId="4" borderId="0" xfId="0" applyFont="1" applyFill="1" applyAlignment="1" applyProtection="1">
      <alignment horizontal="right" vertical="center"/>
      <protection hidden="1"/>
    </xf>
    <xf numFmtId="0" fontId="20" fillId="0" borderId="0" xfId="0" applyFont="1" applyFill="1" applyAlignment="1" applyProtection="1">
      <alignment vertical="top"/>
      <protection hidden="1"/>
    </xf>
    <xf numFmtId="2" fontId="16" fillId="5" borderId="0" xfId="0" applyNumberFormat="1" applyFont="1" applyFill="1" applyBorder="1" applyProtection="1">
      <protection hidden="1"/>
    </xf>
    <xf numFmtId="2" fontId="2" fillId="3" borderId="13" xfId="0" applyNumberFormat="1" applyFont="1" applyFill="1" applyBorder="1" applyAlignment="1" applyProtection="1">
      <alignment horizontal="center"/>
      <protection hidden="1"/>
    </xf>
    <xf numFmtId="2" fontId="0" fillId="3" borderId="10" xfId="0" applyNumberFormat="1" applyFill="1" applyBorder="1" applyAlignment="1" applyProtection="1">
      <alignment horizontal="center" vertical="center"/>
      <protection hidden="1"/>
    </xf>
    <xf numFmtId="2" fontId="0" fillId="3" borderId="0" xfId="0" applyNumberFormat="1" applyFill="1" applyBorder="1" applyProtection="1">
      <protection hidden="1"/>
    </xf>
    <xf numFmtId="2" fontId="0" fillId="3" borderId="10" xfId="0" applyNumberFormat="1" applyFill="1" applyBorder="1" applyProtection="1">
      <protection hidden="1"/>
    </xf>
    <xf numFmtId="2" fontId="2" fillId="3" borderId="12" xfId="0" applyNumberFormat="1" applyFont="1" applyFill="1" applyBorder="1" applyAlignment="1" applyProtection="1">
      <alignment horizontal="center"/>
      <protection hidden="1"/>
    </xf>
    <xf numFmtId="1" fontId="2" fillId="3" borderId="25" xfId="0" applyNumberFormat="1" applyFont="1" applyFill="1" applyBorder="1" applyAlignment="1" applyProtection="1">
      <alignment horizontal="center"/>
      <protection hidden="1"/>
    </xf>
    <xf numFmtId="1" fontId="2" fillId="3" borderId="24" xfId="0" applyNumberFormat="1" applyFont="1" applyFill="1" applyBorder="1" applyAlignment="1" applyProtection="1">
      <alignment horizontal="center"/>
      <protection hidden="1"/>
    </xf>
    <xf numFmtId="1" fontId="0" fillId="4" borderId="0" xfId="0" applyNumberFormat="1" applyFill="1" applyBorder="1" applyProtection="1">
      <protection hidden="1"/>
    </xf>
    <xf numFmtId="0" fontId="0" fillId="4" borderId="0" xfId="0" applyFill="1" applyBorder="1" applyAlignment="1" applyProtection="1">
      <alignment horizontal="right"/>
      <protection hidden="1"/>
    </xf>
    <xf numFmtId="0" fontId="0" fillId="3" borderId="2" xfId="0" applyFont="1" applyFill="1" applyBorder="1" applyProtection="1">
      <protection hidden="1"/>
    </xf>
    <xf numFmtId="0" fontId="0" fillId="3" borderId="3" xfId="0" applyFont="1" applyFill="1" applyBorder="1" applyProtection="1">
      <protection hidden="1"/>
    </xf>
    <xf numFmtId="0" fontId="0" fillId="3" borderId="6" xfId="0" applyFont="1" applyFill="1" applyBorder="1" applyProtection="1">
      <protection hidden="1"/>
    </xf>
    <xf numFmtId="1" fontId="0" fillId="3" borderId="0" xfId="0" applyNumberFormat="1" applyFont="1" applyFill="1" applyBorder="1" applyAlignment="1" applyProtection="1">
      <alignment horizontal="right" vertical="center"/>
      <protection hidden="1"/>
    </xf>
    <xf numFmtId="166" fontId="29" fillId="3" borderId="0" xfId="0" applyNumberFormat="1" applyFont="1" applyFill="1" applyBorder="1" applyAlignment="1" applyProtection="1">
      <alignment horizontal="left"/>
      <protection hidden="1"/>
    </xf>
    <xf numFmtId="0" fontId="30" fillId="3" borderId="0" xfId="0" applyFont="1" applyFill="1" applyBorder="1" applyProtection="1">
      <protection hidden="1"/>
    </xf>
    <xf numFmtId="165" fontId="29" fillId="3" borderId="10" xfId="0" applyNumberFormat="1" applyFont="1" applyFill="1" applyBorder="1" applyAlignment="1" applyProtection="1">
      <alignment horizontal="right"/>
      <protection hidden="1"/>
    </xf>
    <xf numFmtId="166" fontId="0" fillId="3" borderId="0" xfId="0" applyNumberFormat="1" applyFont="1" applyFill="1" applyBorder="1" applyAlignment="1" applyProtection="1">
      <alignment horizontal="right"/>
      <protection hidden="1"/>
    </xf>
    <xf numFmtId="166" fontId="2" fillId="3" borderId="0" xfId="0" applyNumberFormat="1" applyFont="1" applyFill="1" applyBorder="1" applyAlignment="1" applyProtection="1">
      <alignment horizontal="right"/>
      <protection hidden="1"/>
    </xf>
    <xf numFmtId="1" fontId="0" fillId="3" borderId="20" xfId="0" applyNumberFormat="1" applyFont="1" applyFill="1" applyBorder="1" applyAlignment="1" applyProtection="1">
      <alignment horizontal="right"/>
      <protection hidden="1"/>
    </xf>
    <xf numFmtId="2" fontId="0" fillId="3" borderId="20" xfId="0" applyNumberFormat="1" applyFont="1" applyFill="1" applyBorder="1" applyAlignment="1" applyProtection="1">
      <alignment horizontal="right"/>
      <protection hidden="1"/>
    </xf>
    <xf numFmtId="0" fontId="32" fillId="3" borderId="4" xfId="0" applyFont="1" applyFill="1" applyBorder="1" applyProtection="1">
      <protection hidden="1"/>
    </xf>
    <xf numFmtId="166" fontId="31" fillId="3" borderId="0" xfId="0" applyNumberFormat="1" applyFont="1" applyFill="1" applyBorder="1" applyAlignment="1" applyProtection="1">
      <alignment horizontal="left"/>
      <protection hidden="1"/>
    </xf>
    <xf numFmtId="0" fontId="0" fillId="4" borderId="0" xfId="0" applyFill="1" applyBorder="1" applyAlignment="1" applyProtection="1">
      <alignment horizontal="center"/>
      <protection hidden="1"/>
    </xf>
    <xf numFmtId="0" fontId="0" fillId="5" borderId="2" xfId="0" applyFont="1" applyFill="1" applyBorder="1" applyProtection="1">
      <protection hidden="1"/>
    </xf>
    <xf numFmtId="0" fontId="0" fillId="5" borderId="3" xfId="0" applyFont="1" applyFill="1" applyBorder="1" applyProtection="1">
      <protection hidden="1"/>
    </xf>
    <xf numFmtId="1" fontId="0" fillId="5" borderId="0" xfId="0" applyNumberFormat="1" applyFont="1" applyFill="1" applyBorder="1" applyAlignment="1" applyProtection="1">
      <alignment horizontal="right" vertical="center"/>
      <protection hidden="1"/>
    </xf>
    <xf numFmtId="166" fontId="2" fillId="5" borderId="0" xfId="0" applyNumberFormat="1" applyFont="1" applyFill="1" applyBorder="1" applyAlignment="1" applyProtection="1">
      <alignment horizontal="right"/>
      <protection hidden="1"/>
    </xf>
    <xf numFmtId="1" fontId="0" fillId="5" borderId="20" xfId="0" applyNumberFormat="1" applyFont="1" applyFill="1" applyBorder="1" applyAlignment="1" applyProtection="1">
      <alignment horizontal="right"/>
      <protection hidden="1"/>
    </xf>
    <xf numFmtId="166" fontId="0" fillId="5" borderId="0" xfId="0" applyNumberFormat="1" applyFont="1" applyFill="1" applyBorder="1" applyAlignment="1" applyProtection="1">
      <alignment horizontal="right"/>
      <protection hidden="1"/>
    </xf>
    <xf numFmtId="2" fontId="0" fillId="5" borderId="20" xfId="0" applyNumberFormat="1" applyFont="1" applyFill="1" applyBorder="1" applyAlignment="1" applyProtection="1">
      <alignment horizontal="right"/>
      <protection hidden="1"/>
    </xf>
    <xf numFmtId="0" fontId="0" fillId="5" borderId="6" xfId="0" applyFont="1" applyFill="1" applyBorder="1" applyProtection="1">
      <protection hidden="1"/>
    </xf>
    <xf numFmtId="0" fontId="32" fillId="5" borderId="4" xfId="0" applyFont="1" applyFill="1" applyBorder="1" applyProtection="1">
      <protection hidden="1"/>
    </xf>
    <xf numFmtId="1" fontId="2" fillId="5" borderId="25" xfId="0" applyNumberFormat="1" applyFont="1" applyFill="1" applyBorder="1" applyAlignment="1" applyProtection="1">
      <alignment horizontal="center"/>
      <protection hidden="1"/>
    </xf>
    <xf numFmtId="1" fontId="2" fillId="5" borderId="24" xfId="0" applyNumberFormat="1" applyFont="1" applyFill="1" applyBorder="1" applyAlignment="1" applyProtection="1">
      <alignment horizontal="center"/>
      <protection hidden="1"/>
    </xf>
    <xf numFmtId="166" fontId="31" fillId="5" borderId="0" xfId="0" applyNumberFormat="1" applyFont="1" applyFill="1" applyBorder="1" applyAlignment="1" applyProtection="1">
      <alignment horizontal="left"/>
      <protection hidden="1"/>
    </xf>
    <xf numFmtId="166" fontId="29" fillId="5" borderId="0" xfId="0" applyNumberFormat="1" applyFont="1" applyFill="1" applyBorder="1" applyAlignment="1" applyProtection="1">
      <alignment horizontal="left"/>
      <protection hidden="1"/>
    </xf>
    <xf numFmtId="165" fontId="29" fillId="5" borderId="10" xfId="0" applyNumberFormat="1" applyFont="1" applyFill="1" applyBorder="1" applyAlignment="1" applyProtection="1">
      <alignment horizontal="right"/>
      <protection hidden="1"/>
    </xf>
    <xf numFmtId="1" fontId="0" fillId="5" borderId="20" xfId="0" applyNumberFormat="1" applyFont="1" applyFill="1" applyBorder="1" applyAlignment="1" applyProtection="1">
      <alignment horizontal="right" wrapText="1"/>
      <protection hidden="1"/>
    </xf>
    <xf numFmtId="164" fontId="0" fillId="5" borderId="4" xfId="0" applyNumberFormat="1" applyFill="1" applyBorder="1" applyAlignment="1" applyProtection="1">
      <alignment horizontal="center" vertical="center"/>
      <protection hidden="1"/>
    </xf>
    <xf numFmtId="2" fontId="0" fillId="5" borderId="10" xfId="0" applyNumberFormat="1" applyFill="1" applyBorder="1" applyAlignment="1" applyProtection="1">
      <alignment horizontal="center" vertical="center"/>
      <protection hidden="1"/>
    </xf>
    <xf numFmtId="2" fontId="0" fillId="5" borderId="0" xfId="0" applyNumberFormat="1" applyFont="1" applyFill="1" applyBorder="1" applyAlignment="1" applyProtection="1">
      <alignment horizontal="center"/>
      <protection hidden="1"/>
    </xf>
    <xf numFmtId="2" fontId="2" fillId="5" borderId="13" xfId="0" applyNumberFormat="1" applyFont="1" applyFill="1" applyBorder="1" applyAlignment="1" applyProtection="1">
      <alignment horizontal="center"/>
      <protection hidden="1"/>
    </xf>
    <xf numFmtId="2" fontId="2" fillId="5" borderId="12" xfId="0" applyNumberFormat="1" applyFont="1" applyFill="1" applyBorder="1" applyAlignment="1" applyProtection="1">
      <alignment horizontal="center"/>
      <protection hidden="1"/>
    </xf>
    <xf numFmtId="0" fontId="5" fillId="4" borderId="0" xfId="0" applyFont="1" applyFill="1" applyBorder="1" applyAlignment="1" applyProtection="1">
      <alignment horizontal="right"/>
      <protection hidden="1"/>
    </xf>
    <xf numFmtId="0" fontId="5" fillId="3" borderId="0" xfId="0" applyFont="1" applyFill="1" applyBorder="1" applyAlignment="1" applyProtection="1">
      <alignment horizontal="center"/>
      <protection hidden="1"/>
    </xf>
    <xf numFmtId="0" fontId="33" fillId="3" borderId="0" xfId="0" applyFont="1" applyFill="1" applyBorder="1" applyAlignment="1" applyProtection="1">
      <alignment horizontal="center"/>
      <protection hidden="1"/>
    </xf>
    <xf numFmtId="0" fontId="5" fillId="4" borderId="0" xfId="0" applyFont="1" applyFill="1" applyBorder="1" applyAlignment="1" applyProtection="1">
      <alignment horizontal="center"/>
      <protection hidden="1"/>
    </xf>
    <xf numFmtId="0" fontId="5" fillId="4" borderId="13" xfId="0" applyFont="1" applyFill="1" applyBorder="1" applyAlignment="1" applyProtection="1">
      <alignment horizontal="center"/>
      <protection hidden="1"/>
    </xf>
    <xf numFmtId="1" fontId="5" fillId="4" borderId="0" xfId="0" applyNumberFormat="1" applyFont="1" applyFill="1" applyBorder="1" applyAlignment="1" applyProtection="1">
      <alignment horizontal="center"/>
      <protection hidden="1"/>
    </xf>
    <xf numFmtId="0" fontId="3" fillId="4" borderId="0" xfId="0" applyFont="1" applyFill="1" applyBorder="1" applyAlignment="1" applyProtection="1">
      <alignment horizontal="center"/>
      <protection hidden="1"/>
    </xf>
    <xf numFmtId="0" fontId="5" fillId="4" borderId="5" xfId="0" applyFont="1" applyFill="1" applyBorder="1" applyAlignment="1" applyProtection="1">
      <alignment horizontal="center"/>
      <protection hidden="1"/>
    </xf>
    <xf numFmtId="0" fontId="5" fillId="3" borderId="0" xfId="0" applyFont="1" applyFill="1" applyBorder="1" applyAlignment="1" applyProtection="1">
      <alignment horizontal="right"/>
      <protection hidden="1"/>
    </xf>
    <xf numFmtId="0" fontId="3" fillId="4" borderId="0" xfId="0" applyFont="1" applyFill="1" applyBorder="1" applyAlignment="1" applyProtection="1">
      <alignment horizontal="right"/>
      <protection hidden="1"/>
    </xf>
    <xf numFmtId="0" fontId="34" fillId="4" borderId="0" xfId="0" applyFont="1" applyFill="1" applyBorder="1" applyAlignment="1" applyProtection="1">
      <alignment horizontal="right" vertical="center"/>
      <protection hidden="1"/>
    </xf>
    <xf numFmtId="0" fontId="5" fillId="4" borderId="0" xfId="0" quotePrefix="1" applyFont="1" applyFill="1" applyBorder="1" applyAlignment="1" applyProtection="1">
      <alignment horizontal="center"/>
      <protection hidden="1"/>
    </xf>
    <xf numFmtId="9" fontId="0" fillId="4" borderId="0" xfId="0" applyNumberFormat="1" applyFill="1" applyBorder="1" applyProtection="1">
      <protection hidden="1"/>
    </xf>
    <xf numFmtId="0" fontId="14" fillId="3" borderId="6" xfId="0" applyFont="1" applyFill="1" applyBorder="1" applyProtection="1">
      <protection hidden="1"/>
    </xf>
    <xf numFmtId="1" fontId="0" fillId="2" borderId="14" xfId="0" applyNumberFormat="1" applyFill="1" applyBorder="1" applyAlignment="1" applyProtection="1">
      <alignment horizontal="center"/>
      <protection locked="0" hidden="1"/>
    </xf>
    <xf numFmtId="1" fontId="0" fillId="2" borderId="15" xfId="0" applyNumberFormat="1" applyFill="1" applyBorder="1" applyAlignment="1" applyProtection="1">
      <alignment horizontal="center"/>
      <protection locked="0" hidden="1"/>
    </xf>
    <xf numFmtId="1" fontId="0" fillId="2" borderId="16" xfId="0" applyNumberFormat="1" applyFill="1" applyBorder="1" applyAlignment="1" applyProtection="1">
      <alignment horizontal="center"/>
      <protection locked="0" hidden="1"/>
    </xf>
    <xf numFmtId="0" fontId="2" fillId="4" borderId="0" xfId="0" applyFont="1" applyFill="1" applyAlignment="1" applyProtection="1">
      <alignment horizontal="left" vertical="top" wrapText="1"/>
      <protection hidden="1"/>
    </xf>
    <xf numFmtId="0" fontId="0" fillId="4" borderId="0" xfId="0" applyFill="1" applyAlignment="1" applyProtection="1">
      <alignment horizontal="left" wrapText="1"/>
      <protection hidden="1"/>
    </xf>
    <xf numFmtId="0" fontId="6" fillId="4" borderId="0" xfId="2" applyFill="1" applyBorder="1" applyAlignment="1" applyProtection="1">
      <alignment horizontal="left"/>
      <protection locked="0" hidden="1"/>
    </xf>
    <xf numFmtId="0" fontId="0" fillId="4" borderId="0" xfId="0" applyFill="1" applyBorder="1" applyAlignment="1" applyProtection="1">
      <alignment horizontal="left"/>
      <protection locked="0" hidden="1"/>
    </xf>
    <xf numFmtId="0" fontId="6" fillId="4" borderId="0" xfId="2" applyFill="1" applyBorder="1" applyAlignment="1" applyProtection="1">
      <alignment horizontal="center"/>
      <protection locked="0" hidden="1"/>
    </xf>
    <xf numFmtId="0" fontId="0" fillId="4" borderId="0" xfId="0" applyFill="1" applyBorder="1" applyAlignment="1" applyProtection="1">
      <alignment horizontal="left" wrapText="1"/>
      <protection hidden="1"/>
    </xf>
    <xf numFmtId="0" fontId="0" fillId="4" borderId="0" xfId="0" applyFill="1" applyAlignment="1" applyProtection="1">
      <alignment horizontal="left" vertical="top" wrapText="1"/>
      <protection hidden="1"/>
    </xf>
    <xf numFmtId="0" fontId="20" fillId="4" borderId="0" xfId="0" applyFont="1" applyFill="1" applyAlignment="1" applyProtection="1">
      <alignment horizontal="right" vertical="top"/>
      <protection hidden="1"/>
    </xf>
    <xf numFmtId="0" fontId="0" fillId="4" borderId="0" xfId="0" applyFont="1" applyFill="1" applyAlignment="1" applyProtection="1">
      <alignment horizontal="left" vertical="top" wrapText="1"/>
      <protection hidden="1"/>
    </xf>
    <xf numFmtId="0" fontId="0" fillId="4" borderId="0" xfId="0" applyFill="1" applyBorder="1" applyAlignment="1" applyProtection="1">
      <alignment horizontal="left" vertical="top" wrapText="1"/>
      <protection hidden="1"/>
    </xf>
    <xf numFmtId="0" fontId="0" fillId="4" borderId="0" xfId="0" applyFont="1" applyFill="1" applyBorder="1" applyAlignment="1" applyProtection="1">
      <alignment horizontal="left" vertical="top" wrapText="1"/>
      <protection hidden="1"/>
    </xf>
    <xf numFmtId="0" fontId="2" fillId="5" borderId="4" xfId="0" applyFont="1" applyFill="1" applyBorder="1" applyAlignment="1" applyProtection="1">
      <alignment vertical="top"/>
      <protection hidden="1"/>
    </xf>
  </cellXfs>
  <cellStyles count="4">
    <cellStyle name="Comma" xfId="3" builtinId="3"/>
    <cellStyle name="Hyperlink" xfId="2" builtinId="8"/>
    <cellStyle name="Normal" xfId="0" builtinId="0"/>
    <cellStyle name="Percent" xfId="1" builtinId="5"/>
  </cellStyles>
  <dxfs count="6">
    <dxf>
      <font>
        <color rgb="FFFF0000"/>
      </font>
    </dxf>
    <dxf>
      <font>
        <color rgb="FFFF0000"/>
      </font>
    </dxf>
    <dxf>
      <font>
        <b/>
        <i val="0"/>
      </font>
      <fill>
        <patternFill>
          <bgColor rgb="FFFF0000"/>
        </patternFill>
      </fill>
    </dxf>
    <dxf>
      <font>
        <b/>
        <i val="0"/>
      </font>
      <fill>
        <patternFill>
          <bgColor rgb="FFFF0000"/>
        </patternFill>
      </fill>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en-US">
                <a:latin typeface="Verdana" panose="020B0604030504040204" pitchFamily="34" charset="0"/>
                <a:ea typeface="Verdana" panose="020B0604030504040204" pitchFamily="34" charset="0"/>
              </a:rPr>
              <a:t>PSU</a:t>
            </a:r>
            <a:r>
              <a:rPr lang="en-US" baseline="0">
                <a:latin typeface="Verdana" panose="020B0604030504040204" pitchFamily="34" charset="0"/>
                <a:ea typeface="Verdana" panose="020B0604030504040204" pitchFamily="34" charset="0"/>
              </a:rPr>
              <a:t> </a:t>
            </a:r>
            <a:r>
              <a:rPr lang="en-US">
                <a:latin typeface="Verdana" panose="020B0604030504040204" pitchFamily="34" charset="0"/>
                <a:ea typeface="Verdana" panose="020B0604030504040204" pitchFamily="34" charset="0"/>
              </a:rPr>
              <a:t>Power Budget vs. User Station Draw</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title>
    <c:autoTitleDeleted val="0"/>
    <c:plotArea>
      <c:layout>
        <c:manualLayout>
          <c:layoutTarget val="inner"/>
          <c:xMode val="edge"/>
          <c:yMode val="edge"/>
          <c:x val="0.13008092738407698"/>
          <c:y val="0.17171296296296296"/>
          <c:w val="0.83936351706036749"/>
          <c:h val="0.56412766112569257"/>
        </c:manualLayout>
      </c:layout>
      <c:barChart>
        <c:barDir val="col"/>
        <c:grouping val="clustered"/>
        <c:varyColors val="0"/>
        <c:ser>
          <c:idx val="1"/>
          <c:order val="0"/>
          <c:tx>
            <c:strRef>
              <c:f>'CC PL Estimator'!$L$51</c:f>
              <c:strCache>
                <c:ptCount val="1"/>
                <c:pt idx="0">
                  <c:v>PSU Power Budget (A)</c:v>
                </c:pt>
              </c:strCache>
            </c:strRef>
          </c:tx>
          <c:spPr>
            <a:solidFill>
              <a:schemeClr val="accent2"/>
            </a:solidFill>
            <a:ln>
              <a:noFill/>
            </a:ln>
            <a:effectLst/>
          </c:spPr>
          <c:invertIfNegative val="0"/>
          <c:cat>
            <c:strRef>
              <c:f>'CC PL Estimator'!$G$14:$H$14</c:f>
              <c:strCache>
                <c:ptCount val="2"/>
                <c:pt idx="0">
                  <c:v>Total
Idle (A)</c:v>
                </c:pt>
                <c:pt idx="1">
                  <c:v>Total
Max (A)</c:v>
                </c:pt>
              </c:strCache>
            </c:strRef>
          </c:cat>
          <c:val>
            <c:numRef>
              <c:f>('CC PL Estimator'!$M$51,'CC PL Estimator'!$M$51)</c:f>
              <c:numCache>
                <c:formatCode>0.0</c:formatCode>
                <c:ptCount val="2"/>
                <c:pt idx="0">
                  <c:v>0</c:v>
                </c:pt>
                <c:pt idx="1">
                  <c:v>0</c:v>
                </c:pt>
              </c:numCache>
            </c:numRef>
          </c:val>
          <c:extLst>
            <c:ext xmlns:c16="http://schemas.microsoft.com/office/drawing/2014/chart" uri="{C3380CC4-5D6E-409C-BE32-E72D297353CC}">
              <c16:uniqueId val="{00000001-42D2-47F0-83CD-0392C851560E}"/>
            </c:ext>
          </c:extLst>
        </c:ser>
        <c:ser>
          <c:idx val="2"/>
          <c:order val="1"/>
          <c:tx>
            <c:strRef>
              <c:f>'CC PL Estimator'!$L$52</c:f>
              <c:strCache>
                <c:ptCount val="1"/>
                <c:pt idx="0">
                  <c:v>User Station Power Draw (A Max)</c:v>
                </c:pt>
              </c:strCache>
            </c:strRef>
          </c:tx>
          <c:spPr>
            <a:solidFill>
              <a:schemeClr val="bg1">
                <a:lumMod val="75000"/>
              </a:schemeClr>
            </a:solidFill>
            <a:ln>
              <a:noFill/>
            </a:ln>
            <a:effectLst/>
          </c:spPr>
          <c:invertIfNegative val="0"/>
          <c:cat>
            <c:strRef>
              <c:f>'CC PL Estimator'!$G$14:$H$14</c:f>
              <c:strCache>
                <c:ptCount val="2"/>
                <c:pt idx="0">
                  <c:v>Total
Idle (A)</c:v>
                </c:pt>
                <c:pt idx="1">
                  <c:v>Total
Max (A)</c:v>
                </c:pt>
              </c:strCache>
            </c:strRef>
          </c:cat>
          <c:val>
            <c:numRef>
              <c:f>'CC PL Estimator'!$G$57:$H$57</c:f>
              <c:numCache>
                <c:formatCode>0.00</c:formatCode>
                <c:ptCount val="2"/>
                <c:pt idx="0">
                  <c:v>0</c:v>
                </c:pt>
                <c:pt idx="1">
                  <c:v>0</c:v>
                </c:pt>
              </c:numCache>
            </c:numRef>
          </c:val>
          <c:extLst>
            <c:ext xmlns:c16="http://schemas.microsoft.com/office/drawing/2014/chart" uri="{C3380CC4-5D6E-409C-BE32-E72D297353CC}">
              <c16:uniqueId val="{00000002-42D2-47F0-83CD-0392C851560E}"/>
            </c:ext>
          </c:extLst>
        </c:ser>
        <c:dLbls>
          <c:showLegendKey val="0"/>
          <c:showVal val="0"/>
          <c:showCatName val="0"/>
          <c:showSerName val="0"/>
          <c:showPercent val="0"/>
          <c:showBubbleSize val="0"/>
        </c:dLbls>
        <c:gapWidth val="219"/>
        <c:overlap val="-27"/>
        <c:axId val="1927901119"/>
        <c:axId val="1930801087"/>
      </c:barChart>
      <c:catAx>
        <c:axId val="19279011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crossAx val="1930801087"/>
        <c:crosses val="autoZero"/>
        <c:auto val="1"/>
        <c:lblAlgn val="ctr"/>
        <c:lblOffset val="100"/>
        <c:noMultiLvlLbl val="0"/>
      </c:catAx>
      <c:valAx>
        <c:axId val="1930801087"/>
        <c:scaling>
          <c:orientation val="minMax"/>
        </c:scaling>
        <c:delete val="0"/>
        <c:axPos val="l"/>
        <c:majorGridlines>
          <c:spPr>
            <a:ln w="9525" cap="flat" cmpd="sng" algn="ctr">
              <a:solidFill>
                <a:schemeClr val="tx1"/>
              </a:solidFill>
              <a:round/>
            </a:ln>
            <a:effectLst/>
          </c:spPr>
        </c:majorGridlines>
        <c:title>
          <c:tx>
            <c:rich>
              <a:bodyPr rot="0" spcFirstLastPara="1" vertOverflow="ellipsis" wrap="square" anchor="ctr" anchorCtr="0"/>
              <a:lstStyle/>
              <a:p>
                <a:pPr>
                  <a:defRPr sz="1000" b="0" i="0" u="none" strike="noStrike" kern="1200" baseline="0">
                    <a:solidFill>
                      <a:schemeClr val="tx1">
                        <a:lumMod val="65000"/>
                        <a:lumOff val="35000"/>
                      </a:schemeClr>
                    </a:solidFill>
                    <a:latin typeface="+mn-lt"/>
                    <a:ea typeface="+mn-ea"/>
                    <a:cs typeface="+mn-cs"/>
                  </a:defRPr>
                </a:pPr>
                <a:r>
                  <a:rPr lang="en-US"/>
                  <a:t>Amp</a:t>
                </a:r>
              </a:p>
            </c:rich>
          </c:tx>
          <c:layout>
            <c:manualLayout>
              <c:xMode val="edge"/>
              <c:yMode val="edge"/>
              <c:x val="5.2777777777777778E-2"/>
              <c:y val="6.6727909011373585E-2"/>
            </c:manualLayout>
          </c:layout>
          <c:overlay val="0"/>
          <c:spPr>
            <a:noFill/>
            <a:ln>
              <a:noFill/>
            </a:ln>
            <a:effectLst/>
          </c:spPr>
          <c:txPr>
            <a:bodyPr rot="0" spcFirstLastPara="1" vertOverflow="ellipsis" wrap="square" anchor="ctr" anchorCtr="0"/>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79011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1">
        <a:lumMod val="40000"/>
        <a:lumOff val="60000"/>
        <a:alpha val="2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en-US">
                <a:latin typeface="Verdana" panose="020B0604030504040204" pitchFamily="34" charset="0"/>
                <a:ea typeface="Verdana" panose="020B0604030504040204" pitchFamily="34" charset="0"/>
              </a:rPr>
              <a:t>PSU</a:t>
            </a:r>
            <a:r>
              <a:rPr lang="en-US" baseline="0">
                <a:latin typeface="Verdana" panose="020B0604030504040204" pitchFamily="34" charset="0"/>
                <a:ea typeface="Verdana" panose="020B0604030504040204" pitchFamily="34" charset="0"/>
              </a:rPr>
              <a:t> </a:t>
            </a:r>
            <a:r>
              <a:rPr lang="en-US">
                <a:latin typeface="Verdana" panose="020B0604030504040204" pitchFamily="34" charset="0"/>
                <a:ea typeface="Verdana" panose="020B0604030504040204" pitchFamily="34" charset="0"/>
              </a:rPr>
              <a:t>Power Budget vs. User Station Draw</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title>
    <c:autoTitleDeleted val="0"/>
    <c:plotArea>
      <c:layout>
        <c:manualLayout>
          <c:layoutTarget val="inner"/>
          <c:xMode val="edge"/>
          <c:yMode val="edge"/>
          <c:x val="0.13008092738407698"/>
          <c:y val="0.17171296296296296"/>
          <c:w val="0.83936351706036749"/>
          <c:h val="0.56412766112569257"/>
        </c:manualLayout>
      </c:layout>
      <c:barChart>
        <c:barDir val="col"/>
        <c:grouping val="clustered"/>
        <c:varyColors val="0"/>
        <c:ser>
          <c:idx val="1"/>
          <c:order val="0"/>
          <c:tx>
            <c:strRef>
              <c:f>'CC Legacy PL Estimator'!$L$102</c:f>
              <c:strCache>
                <c:ptCount val="1"/>
                <c:pt idx="0">
                  <c:v>PSU Power Budget (A)</c:v>
                </c:pt>
              </c:strCache>
            </c:strRef>
          </c:tx>
          <c:spPr>
            <a:solidFill>
              <a:schemeClr val="accent2"/>
            </a:solidFill>
            <a:ln>
              <a:noFill/>
            </a:ln>
            <a:effectLst/>
          </c:spPr>
          <c:invertIfNegative val="0"/>
          <c:cat>
            <c:strRef>
              <c:f>'CC Legacy PL Estimator'!$G$14:$H$14</c:f>
              <c:strCache>
                <c:ptCount val="2"/>
                <c:pt idx="0">
                  <c:v>Total
Idle (A)</c:v>
                </c:pt>
                <c:pt idx="1">
                  <c:v>Total
Max (A)</c:v>
                </c:pt>
              </c:strCache>
            </c:strRef>
          </c:cat>
          <c:val>
            <c:numRef>
              <c:f>'CC Legacy PL Estimator'!$M$102:$N$102</c:f>
              <c:numCache>
                <c:formatCode>0.00</c:formatCode>
                <c:ptCount val="2"/>
                <c:pt idx="0" formatCode="0.0">
                  <c:v>0</c:v>
                </c:pt>
                <c:pt idx="1">
                  <c:v>0</c:v>
                </c:pt>
              </c:numCache>
            </c:numRef>
          </c:val>
          <c:extLst>
            <c:ext xmlns:c16="http://schemas.microsoft.com/office/drawing/2014/chart" uri="{C3380CC4-5D6E-409C-BE32-E72D297353CC}">
              <c16:uniqueId val="{00000000-1E50-4B3B-8D1B-35407E3B8E74}"/>
            </c:ext>
          </c:extLst>
        </c:ser>
        <c:ser>
          <c:idx val="2"/>
          <c:order val="1"/>
          <c:tx>
            <c:strRef>
              <c:f>'CC Legacy PL Estimator'!$L$103</c:f>
              <c:strCache>
                <c:ptCount val="1"/>
                <c:pt idx="0">
                  <c:v>User Station Power Draw (A Max)</c:v>
                </c:pt>
              </c:strCache>
            </c:strRef>
          </c:tx>
          <c:spPr>
            <a:solidFill>
              <a:schemeClr val="accent3"/>
            </a:solidFill>
            <a:ln>
              <a:noFill/>
            </a:ln>
            <a:effectLst/>
          </c:spPr>
          <c:invertIfNegative val="0"/>
          <c:cat>
            <c:strRef>
              <c:f>'CC Legacy PL Estimator'!$G$14:$H$14</c:f>
              <c:strCache>
                <c:ptCount val="2"/>
                <c:pt idx="0">
                  <c:v>Total
Idle (A)</c:v>
                </c:pt>
                <c:pt idx="1">
                  <c:v>Total
Max (A)</c:v>
                </c:pt>
              </c:strCache>
            </c:strRef>
          </c:cat>
          <c:val>
            <c:numRef>
              <c:f>'CC Legacy PL Estimator'!$G$129:$H$129</c:f>
              <c:numCache>
                <c:formatCode>0.00</c:formatCode>
                <c:ptCount val="2"/>
                <c:pt idx="0">
                  <c:v>0</c:v>
                </c:pt>
                <c:pt idx="1">
                  <c:v>0</c:v>
                </c:pt>
              </c:numCache>
            </c:numRef>
          </c:val>
          <c:extLst>
            <c:ext xmlns:c16="http://schemas.microsoft.com/office/drawing/2014/chart" uri="{C3380CC4-5D6E-409C-BE32-E72D297353CC}">
              <c16:uniqueId val="{00000001-1E50-4B3B-8D1B-35407E3B8E74}"/>
            </c:ext>
          </c:extLst>
        </c:ser>
        <c:dLbls>
          <c:showLegendKey val="0"/>
          <c:showVal val="0"/>
          <c:showCatName val="0"/>
          <c:showSerName val="0"/>
          <c:showPercent val="0"/>
          <c:showBubbleSize val="0"/>
        </c:dLbls>
        <c:gapWidth val="219"/>
        <c:overlap val="-27"/>
        <c:axId val="1927901119"/>
        <c:axId val="1930801087"/>
      </c:barChart>
      <c:catAx>
        <c:axId val="19279011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crossAx val="1930801087"/>
        <c:crosses val="autoZero"/>
        <c:auto val="1"/>
        <c:lblAlgn val="ctr"/>
        <c:lblOffset val="100"/>
        <c:noMultiLvlLbl val="0"/>
      </c:catAx>
      <c:valAx>
        <c:axId val="1930801087"/>
        <c:scaling>
          <c:orientation val="minMax"/>
        </c:scaling>
        <c:delete val="0"/>
        <c:axPos val="l"/>
        <c:majorGridlines>
          <c:spPr>
            <a:ln w="9525" cap="flat" cmpd="sng" algn="ctr">
              <a:solidFill>
                <a:schemeClr val="tx1"/>
              </a:solidFill>
              <a:round/>
            </a:ln>
            <a:effectLst/>
          </c:spPr>
        </c:majorGridlines>
        <c:title>
          <c:tx>
            <c:rich>
              <a:bodyPr rot="0" spcFirstLastPara="1" vertOverflow="ellipsis" wrap="square" anchor="ctr" anchorCtr="0"/>
              <a:lstStyle/>
              <a:p>
                <a:pPr>
                  <a:defRPr sz="1000" b="0" i="0" u="none" strike="noStrike" kern="1200" baseline="0">
                    <a:solidFill>
                      <a:schemeClr val="tx1">
                        <a:lumMod val="65000"/>
                        <a:lumOff val="35000"/>
                      </a:schemeClr>
                    </a:solidFill>
                    <a:latin typeface="+mn-lt"/>
                    <a:ea typeface="+mn-ea"/>
                    <a:cs typeface="+mn-cs"/>
                  </a:defRPr>
                </a:pPr>
                <a:r>
                  <a:rPr lang="en-US"/>
                  <a:t>Amp</a:t>
                </a:r>
              </a:p>
            </c:rich>
          </c:tx>
          <c:layout>
            <c:manualLayout>
              <c:xMode val="edge"/>
              <c:yMode val="edge"/>
              <c:x val="5.2777777777777778E-2"/>
              <c:y val="6.6727909011373585E-2"/>
            </c:manualLayout>
          </c:layout>
          <c:overlay val="0"/>
          <c:spPr>
            <a:noFill/>
            <a:ln>
              <a:noFill/>
            </a:ln>
            <a:effectLst/>
          </c:spPr>
          <c:txPr>
            <a:bodyPr rot="0" spcFirstLastPara="1" vertOverflow="ellipsis" wrap="square" anchor="ctr" anchorCtr="0"/>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79011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2">
        <a:lumMod val="20000"/>
        <a:lumOff val="80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clearcom.com/product-family/helixnet-digital-network-partyline/" TargetMode="External"/><Relationship Id="rId7"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www.clearcom.com" TargetMode="External"/><Relationship Id="rId6" Type="http://schemas.openxmlformats.org/officeDocument/2006/relationships/image" Target="../media/image3.png"/><Relationship Id="rId5" Type="http://schemas.openxmlformats.org/officeDocument/2006/relationships/hyperlink" Target="#'CC Legacy PL Estimator'!A1"/><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8" Type="http://schemas.openxmlformats.org/officeDocument/2006/relationships/chart" Target="../charts/chart2.xml"/><Relationship Id="rId3" Type="http://schemas.microsoft.com/office/2007/relationships/hdphoto" Target="../media/hdphoto1.wdp"/><Relationship Id="rId7"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hyperlink" Target="#'CC PL Estimator'!A1"/><Relationship Id="rId6" Type="http://schemas.openxmlformats.org/officeDocument/2006/relationships/hyperlink" Target="#'CC Legacy PL Estimator'!A1"/><Relationship Id="rId5" Type="http://schemas.openxmlformats.org/officeDocument/2006/relationships/image" Target="../media/image2.png"/><Relationship Id="rId4" Type="http://schemas.openxmlformats.org/officeDocument/2006/relationships/hyperlink" Target="https://www.clearcom.com/product-family/helixnet-digital-network-partyline/"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C PL Estimator'!A1"/></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absolute">
    <xdr:from>
      <xdr:col>2</xdr:col>
      <xdr:colOff>314324</xdr:colOff>
      <xdr:row>1</xdr:row>
      <xdr:rowOff>47625</xdr:rowOff>
    </xdr:from>
    <xdr:to>
      <xdr:col>4</xdr:col>
      <xdr:colOff>533399</xdr:colOff>
      <xdr:row>3</xdr:row>
      <xdr:rowOff>57150</xdr:rowOff>
    </xdr:to>
    <xdr:pic>
      <xdr:nvPicPr>
        <xdr:cNvPr id="2" name="Picture 1" descr="http://www.clearcom.com/images/common/logo.png">
          <a:hlinkClick xmlns:r="http://schemas.openxmlformats.org/officeDocument/2006/relationships" r:id="rId1"/>
          <a:extLst>
            <a:ext uri="{FF2B5EF4-FFF2-40B4-BE49-F238E27FC236}">
              <a16:creationId xmlns:a16="http://schemas.microsoft.com/office/drawing/2014/main" id="{1DCB4D08-6F25-48BE-92E6-1B8D5BB9D309}"/>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0561" b="20561"/>
        <a:stretch/>
      </xdr:blipFill>
      <xdr:spPr bwMode="auto">
        <a:xfrm>
          <a:off x="504824" y="238125"/>
          <a:ext cx="2219325" cy="60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12</xdr:col>
      <xdr:colOff>74168</xdr:colOff>
      <xdr:row>8</xdr:row>
      <xdr:rowOff>27735</xdr:rowOff>
    </xdr:from>
    <xdr:to>
      <xdr:col>13</xdr:col>
      <xdr:colOff>302758</xdr:colOff>
      <xdr:row>9</xdr:row>
      <xdr:rowOff>48433</xdr:rowOff>
    </xdr:to>
    <xdr:pic>
      <xdr:nvPicPr>
        <xdr:cNvPr id="5" name="Picture 4">
          <a:hlinkClick xmlns:r="http://schemas.openxmlformats.org/officeDocument/2006/relationships" r:id="rId3"/>
          <a:extLst>
            <a:ext uri="{FF2B5EF4-FFF2-40B4-BE49-F238E27FC236}">
              <a16:creationId xmlns:a16="http://schemas.microsoft.com/office/drawing/2014/main" id="{34B3CE18-A79B-46A2-8725-C749ADCC838D}"/>
            </a:ext>
          </a:extLst>
        </xdr:cNvPr>
        <xdr:cNvPicPr>
          <a:picLocks noChangeAspect="1"/>
        </xdr:cNvPicPr>
      </xdr:nvPicPr>
      <xdr:blipFill>
        <a:blip xmlns:r="http://schemas.openxmlformats.org/officeDocument/2006/relationships" r:embed="rId4"/>
        <a:stretch>
          <a:fillRect/>
        </a:stretch>
      </xdr:blipFill>
      <xdr:spPr>
        <a:xfrm>
          <a:off x="8694293" y="1751760"/>
          <a:ext cx="895340" cy="206436"/>
        </a:xfrm>
        <a:prstGeom prst="rect">
          <a:avLst/>
        </a:prstGeom>
      </xdr:spPr>
    </xdr:pic>
    <xdr:clientData/>
  </xdr:twoCellAnchor>
  <xdr:twoCellAnchor editAs="absolute">
    <xdr:from>
      <xdr:col>14</xdr:col>
      <xdr:colOff>11578</xdr:colOff>
      <xdr:row>7</xdr:row>
      <xdr:rowOff>178932</xdr:rowOff>
    </xdr:from>
    <xdr:to>
      <xdr:col>14</xdr:col>
      <xdr:colOff>1240303</xdr:colOff>
      <xdr:row>9</xdr:row>
      <xdr:rowOff>83900</xdr:rowOff>
    </xdr:to>
    <xdr:pic>
      <xdr:nvPicPr>
        <xdr:cNvPr id="7" name="Picture 6">
          <a:hlinkClick xmlns:r="http://schemas.openxmlformats.org/officeDocument/2006/relationships" r:id="rId5"/>
          <a:extLst>
            <a:ext uri="{FF2B5EF4-FFF2-40B4-BE49-F238E27FC236}">
              <a16:creationId xmlns:a16="http://schemas.microsoft.com/office/drawing/2014/main" id="{9BF7783F-D2CA-4AC2-88A6-71B18BD6EF21}"/>
            </a:ext>
          </a:extLst>
        </xdr:cNvPr>
        <xdr:cNvPicPr>
          <a:picLocks noChangeAspect="1"/>
        </xdr:cNvPicPr>
      </xdr:nvPicPr>
      <xdr:blipFill>
        <a:blip xmlns:r="http://schemas.openxmlformats.org/officeDocument/2006/relationships" r:embed="rId6"/>
        <a:stretch>
          <a:fillRect/>
        </a:stretch>
      </xdr:blipFill>
      <xdr:spPr>
        <a:xfrm>
          <a:off x="10160466" y="1717220"/>
          <a:ext cx="1228725" cy="276443"/>
        </a:xfrm>
        <a:prstGeom prst="rect">
          <a:avLst/>
        </a:prstGeom>
      </xdr:spPr>
    </xdr:pic>
    <xdr:clientData/>
  </xdr:twoCellAnchor>
  <xdr:twoCellAnchor>
    <xdr:from>
      <xdr:col>9</xdr:col>
      <xdr:colOff>238124</xdr:colOff>
      <xdr:row>53</xdr:row>
      <xdr:rowOff>67236</xdr:rowOff>
    </xdr:from>
    <xdr:to>
      <xdr:col>14</xdr:col>
      <xdr:colOff>1076324</xdr:colOff>
      <xdr:row>66</xdr:row>
      <xdr:rowOff>152400</xdr:rowOff>
    </xdr:to>
    <xdr:graphicFrame macro="">
      <xdr:nvGraphicFramePr>
        <xdr:cNvPr id="3" name="Chart 2">
          <a:extLst>
            <a:ext uri="{FF2B5EF4-FFF2-40B4-BE49-F238E27FC236}">
              <a16:creationId xmlns:a16="http://schemas.microsoft.com/office/drawing/2014/main" id="{0E24931B-C807-4D38-8825-BB534A723B8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2</xdr:col>
      <xdr:colOff>266701</xdr:colOff>
      <xdr:row>2</xdr:row>
      <xdr:rowOff>1525</xdr:rowOff>
    </xdr:from>
    <xdr:to>
      <xdr:col>4</xdr:col>
      <xdr:colOff>409575</xdr:colOff>
      <xdr:row>3</xdr:row>
      <xdr:rowOff>57150</xdr:rowOff>
    </xdr:to>
    <xdr:pic>
      <xdr:nvPicPr>
        <xdr:cNvPr id="3" name="Picture 2">
          <a:hlinkClick xmlns:r="http://schemas.openxmlformats.org/officeDocument/2006/relationships" r:id="rId1"/>
          <a:extLst>
            <a:ext uri="{FF2B5EF4-FFF2-40B4-BE49-F238E27FC236}">
              <a16:creationId xmlns:a16="http://schemas.microsoft.com/office/drawing/2014/main" id="{F70C0F09-A842-45CF-A51E-8AE9FAA1E0E6}"/>
            </a:ext>
          </a:extLst>
        </xdr:cNvPr>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sharpenSoften amount="25000"/>
                  </a14:imgEffect>
                </a14:imgLayer>
              </a14:imgProps>
            </a:ext>
          </a:extLst>
        </a:blip>
        <a:stretch>
          <a:fillRect/>
        </a:stretch>
      </xdr:blipFill>
      <xdr:spPr>
        <a:xfrm>
          <a:off x="457201" y="377763"/>
          <a:ext cx="2143124" cy="460437"/>
        </a:xfrm>
        <a:prstGeom prst="rect">
          <a:avLst/>
        </a:prstGeom>
      </xdr:spPr>
    </xdr:pic>
    <xdr:clientData/>
  </xdr:twoCellAnchor>
  <xdr:twoCellAnchor editAs="absolute">
    <xdr:from>
      <xdr:col>12</xdr:col>
      <xdr:colOff>74168</xdr:colOff>
      <xdr:row>8</xdr:row>
      <xdr:rowOff>27735</xdr:rowOff>
    </xdr:from>
    <xdr:to>
      <xdr:col>13</xdr:col>
      <xdr:colOff>302758</xdr:colOff>
      <xdr:row>9</xdr:row>
      <xdr:rowOff>48433</xdr:rowOff>
    </xdr:to>
    <xdr:pic>
      <xdr:nvPicPr>
        <xdr:cNvPr id="4" name="Picture 3">
          <a:hlinkClick xmlns:r="http://schemas.openxmlformats.org/officeDocument/2006/relationships" r:id="rId4"/>
          <a:extLst>
            <a:ext uri="{FF2B5EF4-FFF2-40B4-BE49-F238E27FC236}">
              <a16:creationId xmlns:a16="http://schemas.microsoft.com/office/drawing/2014/main" id="{8A0924CA-79A2-4A4F-9FFF-B817BBDF9524}"/>
            </a:ext>
          </a:extLst>
        </xdr:cNvPr>
        <xdr:cNvPicPr>
          <a:picLocks noChangeAspect="1"/>
        </xdr:cNvPicPr>
      </xdr:nvPicPr>
      <xdr:blipFill>
        <a:blip xmlns:r="http://schemas.openxmlformats.org/officeDocument/2006/relationships" r:embed="rId5"/>
        <a:stretch>
          <a:fillRect/>
        </a:stretch>
      </xdr:blipFill>
      <xdr:spPr>
        <a:xfrm>
          <a:off x="8694293" y="1751760"/>
          <a:ext cx="895340" cy="206436"/>
        </a:xfrm>
        <a:prstGeom prst="rect">
          <a:avLst/>
        </a:prstGeom>
      </xdr:spPr>
    </xdr:pic>
    <xdr:clientData/>
  </xdr:twoCellAnchor>
  <xdr:twoCellAnchor editAs="absolute">
    <xdr:from>
      <xdr:col>14</xdr:col>
      <xdr:colOff>11578</xdr:colOff>
      <xdr:row>7</xdr:row>
      <xdr:rowOff>178932</xdr:rowOff>
    </xdr:from>
    <xdr:to>
      <xdr:col>14</xdr:col>
      <xdr:colOff>1240303</xdr:colOff>
      <xdr:row>9</xdr:row>
      <xdr:rowOff>83900</xdr:rowOff>
    </xdr:to>
    <xdr:pic>
      <xdr:nvPicPr>
        <xdr:cNvPr id="5" name="Picture 4">
          <a:hlinkClick xmlns:r="http://schemas.openxmlformats.org/officeDocument/2006/relationships" r:id="rId6"/>
          <a:extLst>
            <a:ext uri="{FF2B5EF4-FFF2-40B4-BE49-F238E27FC236}">
              <a16:creationId xmlns:a16="http://schemas.microsoft.com/office/drawing/2014/main" id="{F305D045-C943-4514-B4CC-B7B092008B0E}"/>
            </a:ext>
          </a:extLst>
        </xdr:cNvPr>
        <xdr:cNvPicPr>
          <a:picLocks noChangeAspect="1"/>
        </xdr:cNvPicPr>
      </xdr:nvPicPr>
      <xdr:blipFill>
        <a:blip xmlns:r="http://schemas.openxmlformats.org/officeDocument/2006/relationships" r:embed="rId7"/>
        <a:stretch>
          <a:fillRect/>
        </a:stretch>
      </xdr:blipFill>
      <xdr:spPr>
        <a:xfrm>
          <a:off x="10160466" y="1717220"/>
          <a:ext cx="1228725" cy="276443"/>
        </a:xfrm>
        <a:prstGeom prst="rect">
          <a:avLst/>
        </a:prstGeom>
      </xdr:spPr>
    </xdr:pic>
    <xdr:clientData/>
  </xdr:twoCellAnchor>
  <xdr:twoCellAnchor>
    <xdr:from>
      <xdr:col>9</xdr:col>
      <xdr:colOff>238125</xdr:colOff>
      <xdr:row>104</xdr:row>
      <xdr:rowOff>133350</xdr:rowOff>
    </xdr:from>
    <xdr:to>
      <xdr:col>14</xdr:col>
      <xdr:colOff>1076325</xdr:colOff>
      <xdr:row>119</xdr:row>
      <xdr:rowOff>4763</xdr:rowOff>
    </xdr:to>
    <xdr:graphicFrame macro="">
      <xdr:nvGraphicFramePr>
        <xdr:cNvPr id="6" name="Chart 5">
          <a:extLst>
            <a:ext uri="{FF2B5EF4-FFF2-40B4-BE49-F238E27FC236}">
              <a16:creationId xmlns:a16="http://schemas.microsoft.com/office/drawing/2014/main" id="{938481E1-6689-476B-8689-97E5286E3D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46456</xdr:colOff>
      <xdr:row>1</xdr:row>
      <xdr:rowOff>28576</xdr:rowOff>
    </xdr:from>
    <xdr:to>
      <xdr:col>3</xdr:col>
      <xdr:colOff>265531</xdr:colOff>
      <xdr:row>4</xdr:row>
      <xdr:rowOff>37112</xdr:rowOff>
    </xdr:to>
    <xdr:pic>
      <xdr:nvPicPr>
        <xdr:cNvPr id="4" name="Picture 3" descr="http://www.clearcom.com/images/common/logo.png">
          <a:hlinkClick xmlns:r="http://schemas.openxmlformats.org/officeDocument/2006/relationships" r:id="rId1"/>
          <a:extLst>
            <a:ext uri="{FF2B5EF4-FFF2-40B4-BE49-F238E27FC236}">
              <a16:creationId xmlns:a16="http://schemas.microsoft.com/office/drawing/2014/main" id="{2725F1A2-023C-4A4E-B799-0B6DD6DA15AF}"/>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0561" b="22906"/>
        <a:stretch/>
      </xdr:blipFill>
      <xdr:spPr bwMode="auto">
        <a:xfrm>
          <a:off x="250166" y="219076"/>
          <a:ext cx="2221122" cy="5752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161067</xdr:colOff>
      <xdr:row>8</xdr:row>
      <xdr:rowOff>28381</xdr:rowOff>
    </xdr:to>
    <xdr:pic>
      <xdr:nvPicPr>
        <xdr:cNvPr id="2" name="Picture 1">
          <a:extLst>
            <a:ext uri="{FF2B5EF4-FFF2-40B4-BE49-F238E27FC236}">
              <a16:creationId xmlns:a16="http://schemas.microsoft.com/office/drawing/2014/main" id="{1A84E051-2002-42F9-88F9-7DCE42ACC0D6}"/>
            </a:ext>
          </a:extLst>
        </xdr:cNvPr>
        <xdr:cNvPicPr>
          <a:picLocks noChangeAspect="1"/>
        </xdr:cNvPicPr>
      </xdr:nvPicPr>
      <xdr:blipFill>
        <a:blip xmlns:r="http://schemas.openxmlformats.org/officeDocument/2006/relationships" r:embed="rId1"/>
        <a:stretch>
          <a:fillRect/>
        </a:stretch>
      </xdr:blipFill>
      <xdr:spPr>
        <a:xfrm>
          <a:off x="0" y="0"/>
          <a:ext cx="6866667" cy="1552381"/>
        </a:xfrm>
        <a:prstGeom prst="rect">
          <a:avLst/>
        </a:prstGeom>
      </xdr:spPr>
    </xdr:pic>
    <xdr:clientData/>
  </xdr:twoCellAnchor>
  <xdr:twoCellAnchor editAs="oneCell">
    <xdr:from>
      <xdr:col>0</xdr:col>
      <xdr:colOff>228599</xdr:colOff>
      <xdr:row>11</xdr:row>
      <xdr:rowOff>71438</xdr:rowOff>
    </xdr:from>
    <xdr:to>
      <xdr:col>12</xdr:col>
      <xdr:colOff>446732</xdr:colOff>
      <xdr:row>22</xdr:row>
      <xdr:rowOff>52080</xdr:rowOff>
    </xdr:to>
    <xdr:pic>
      <xdr:nvPicPr>
        <xdr:cNvPr id="3" name="Picture 2">
          <a:extLst>
            <a:ext uri="{FF2B5EF4-FFF2-40B4-BE49-F238E27FC236}">
              <a16:creationId xmlns:a16="http://schemas.microsoft.com/office/drawing/2014/main" id="{2A5F0593-EDF1-434B-BA85-2C41E8F2D128}"/>
            </a:ext>
          </a:extLst>
        </xdr:cNvPr>
        <xdr:cNvPicPr>
          <a:picLocks noChangeAspect="1"/>
        </xdr:cNvPicPr>
      </xdr:nvPicPr>
      <xdr:blipFill>
        <a:blip xmlns:r="http://schemas.openxmlformats.org/officeDocument/2006/relationships" r:embed="rId2"/>
        <a:stretch>
          <a:fillRect/>
        </a:stretch>
      </xdr:blipFill>
      <xdr:spPr>
        <a:xfrm>
          <a:off x="228599" y="2166938"/>
          <a:ext cx="7533333" cy="2466667"/>
        </a:xfrm>
        <a:prstGeom prst="rect">
          <a:avLst/>
        </a:prstGeom>
      </xdr:spPr>
    </xdr:pic>
    <xdr:clientData/>
  </xdr:twoCellAnchor>
  <xdr:twoCellAnchor editAs="oneCell">
    <xdr:from>
      <xdr:col>0</xdr:col>
      <xdr:colOff>119063</xdr:colOff>
      <xdr:row>25</xdr:row>
      <xdr:rowOff>138112</xdr:rowOff>
    </xdr:from>
    <xdr:to>
      <xdr:col>14</xdr:col>
      <xdr:colOff>3711</xdr:colOff>
      <xdr:row>52</xdr:row>
      <xdr:rowOff>185076</xdr:rowOff>
    </xdr:to>
    <xdr:pic>
      <xdr:nvPicPr>
        <xdr:cNvPr id="4" name="Picture 3">
          <a:extLst>
            <a:ext uri="{FF2B5EF4-FFF2-40B4-BE49-F238E27FC236}">
              <a16:creationId xmlns:a16="http://schemas.microsoft.com/office/drawing/2014/main" id="{0203A720-9C5B-47C3-8151-D9C40395F504}"/>
            </a:ext>
          </a:extLst>
        </xdr:cNvPr>
        <xdr:cNvPicPr>
          <a:picLocks noChangeAspect="1"/>
        </xdr:cNvPicPr>
      </xdr:nvPicPr>
      <xdr:blipFill>
        <a:blip xmlns:r="http://schemas.openxmlformats.org/officeDocument/2006/relationships" r:embed="rId3"/>
        <a:stretch>
          <a:fillRect/>
        </a:stretch>
      </xdr:blipFill>
      <xdr:spPr>
        <a:xfrm>
          <a:off x="119063" y="5434012"/>
          <a:ext cx="8419048" cy="5285714"/>
        </a:xfrm>
        <a:prstGeom prst="rect">
          <a:avLst/>
        </a:prstGeom>
      </xdr:spPr>
    </xdr:pic>
    <xdr:clientData/>
  </xdr:twoCellAnchor>
  <xdr:twoCellAnchor editAs="oneCell">
    <xdr:from>
      <xdr:col>4</xdr:col>
      <xdr:colOff>533400</xdr:colOff>
      <xdr:row>54</xdr:row>
      <xdr:rowOff>23812</xdr:rowOff>
    </xdr:from>
    <xdr:to>
      <xdr:col>13</xdr:col>
      <xdr:colOff>447000</xdr:colOff>
      <xdr:row>66</xdr:row>
      <xdr:rowOff>23526</xdr:rowOff>
    </xdr:to>
    <xdr:pic>
      <xdr:nvPicPr>
        <xdr:cNvPr id="5" name="Picture 4">
          <a:extLst>
            <a:ext uri="{FF2B5EF4-FFF2-40B4-BE49-F238E27FC236}">
              <a16:creationId xmlns:a16="http://schemas.microsoft.com/office/drawing/2014/main" id="{036CBE33-572D-4071-8C2F-FFECE51493B8}"/>
            </a:ext>
          </a:extLst>
        </xdr:cNvPr>
        <xdr:cNvPicPr>
          <a:picLocks noChangeAspect="1"/>
        </xdr:cNvPicPr>
      </xdr:nvPicPr>
      <xdr:blipFill>
        <a:blip xmlns:r="http://schemas.openxmlformats.org/officeDocument/2006/relationships" r:embed="rId4"/>
        <a:stretch>
          <a:fillRect/>
        </a:stretch>
      </xdr:blipFill>
      <xdr:spPr>
        <a:xfrm>
          <a:off x="2971800" y="10939462"/>
          <a:ext cx="5400000" cy="228571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38100</xdr:colOff>
      <xdr:row>2</xdr:row>
      <xdr:rowOff>19050</xdr:rowOff>
    </xdr:from>
    <xdr:to>
      <xdr:col>9</xdr:col>
      <xdr:colOff>0</xdr:colOff>
      <xdr:row>5</xdr:row>
      <xdr:rowOff>0</xdr:rowOff>
    </xdr:to>
    <xdr:sp macro="" textlink="">
      <xdr:nvSpPr>
        <xdr:cNvPr id="2" name="Text Box 1">
          <a:extLst>
            <a:ext uri="{FF2B5EF4-FFF2-40B4-BE49-F238E27FC236}">
              <a16:creationId xmlns:a16="http://schemas.microsoft.com/office/drawing/2014/main" id="{5920D598-0EDC-497D-9BE3-10E3A71763BD}"/>
            </a:ext>
          </a:extLst>
        </xdr:cNvPr>
        <xdr:cNvSpPr txBox="1">
          <a:spLocks noChangeArrowheads="1"/>
        </xdr:cNvSpPr>
      </xdr:nvSpPr>
      <xdr:spPr bwMode="auto">
        <a:xfrm>
          <a:off x="3209925" y="342900"/>
          <a:ext cx="2057400" cy="4857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Capacitance is from conductor to other conductors connected to shield.</a:t>
          </a:r>
        </a:p>
      </xdr:txBody>
    </xdr:sp>
    <xdr:clientData/>
  </xdr:twoCellAnchor>
  <xdr:twoCellAnchor>
    <xdr:from>
      <xdr:col>5</xdr:col>
      <xdr:colOff>0</xdr:colOff>
      <xdr:row>11</xdr:row>
      <xdr:rowOff>57150</xdr:rowOff>
    </xdr:from>
    <xdr:to>
      <xdr:col>9</xdr:col>
      <xdr:colOff>0</xdr:colOff>
      <xdr:row>14</xdr:row>
      <xdr:rowOff>19050</xdr:rowOff>
    </xdr:to>
    <xdr:sp macro="" textlink="">
      <xdr:nvSpPr>
        <xdr:cNvPr id="3" name="Text Box 2">
          <a:extLst>
            <a:ext uri="{FF2B5EF4-FFF2-40B4-BE49-F238E27FC236}">
              <a16:creationId xmlns:a16="http://schemas.microsoft.com/office/drawing/2014/main" id="{CA14D3B0-BCEB-482C-B3C1-69FB61B47741}"/>
            </a:ext>
          </a:extLst>
        </xdr:cNvPr>
        <xdr:cNvSpPr txBox="1">
          <a:spLocks noChangeArrowheads="1"/>
        </xdr:cNvSpPr>
      </xdr:nvSpPr>
      <xdr:spPr bwMode="auto">
        <a:xfrm>
          <a:off x="3171825" y="1895475"/>
          <a:ext cx="2095500" cy="4667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NC-1's should be installed at 500 foot intervals on each long cable run, starting at the termination.</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upport@clearcom.com" TargetMode="External"/><Relationship Id="rId7" Type="http://schemas.openxmlformats.org/officeDocument/2006/relationships/drawing" Target="../drawings/drawing1.xml"/><Relationship Id="rId2" Type="http://schemas.openxmlformats.org/officeDocument/2006/relationships/hyperlink" Target="https://www2.clearcom.com/cc-comprehensive-guide" TargetMode="External"/><Relationship Id="rId1" Type="http://schemas.openxmlformats.org/officeDocument/2006/relationships/hyperlink" Target="https://clearcom.com/DownloadCenter/manuals/Encore/Encore_Partyline_Installation_Manual.pdf" TargetMode="External"/><Relationship Id="rId6" Type="http://schemas.openxmlformats.org/officeDocument/2006/relationships/printerSettings" Target="../printerSettings/printerSettings1.bin"/><Relationship Id="rId5" Type="http://schemas.openxmlformats.org/officeDocument/2006/relationships/hyperlink" Target="https://www.clearcom.com/support/solution-finder/" TargetMode="External"/><Relationship Id="rId4" Type="http://schemas.openxmlformats.org/officeDocument/2006/relationships/hyperlink" Target="https://www.clearcom.com/email-preferences/"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support@clearcom.com" TargetMode="External"/><Relationship Id="rId7" Type="http://schemas.openxmlformats.org/officeDocument/2006/relationships/drawing" Target="../drawings/drawing2.xml"/><Relationship Id="rId2" Type="http://schemas.openxmlformats.org/officeDocument/2006/relationships/hyperlink" Target="https://www2.clearcom.com/cc-comprehensive-guide" TargetMode="External"/><Relationship Id="rId1" Type="http://schemas.openxmlformats.org/officeDocument/2006/relationships/hyperlink" Target="https://clearcom.com/DownloadCenter/manuals/Encore/Encore_Partyline_Installation_Manual.pdf" TargetMode="External"/><Relationship Id="rId6" Type="http://schemas.openxmlformats.org/officeDocument/2006/relationships/printerSettings" Target="../printerSettings/printerSettings2.bin"/><Relationship Id="rId5" Type="http://schemas.openxmlformats.org/officeDocument/2006/relationships/hyperlink" Target="https://www.clearcom.com/support/solution-finder/" TargetMode="External"/><Relationship Id="rId4" Type="http://schemas.openxmlformats.org/officeDocument/2006/relationships/hyperlink" Target="https://www.clearcom.com/email-preference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AFC24-A442-4C24-9F69-B603CA5F9E1B}">
  <sheetPr>
    <tabColor theme="4" tint="0.59999389629810485"/>
    <pageSetUpPr fitToPage="1"/>
  </sheetPr>
  <dimension ref="A1:V99"/>
  <sheetViews>
    <sheetView showGridLines="0" tabSelected="1" view="pageBreakPreview" topLeftCell="B1" zoomScaleNormal="100" zoomScaleSheetLayoutView="100" workbookViewId="0">
      <selection activeCell="F5" sqref="F5:H5"/>
    </sheetView>
  </sheetViews>
  <sheetFormatPr defaultColWidth="9" defaultRowHeight="14.25"/>
  <cols>
    <col min="1" max="1" width="4" style="172" hidden="1" customWidth="1"/>
    <col min="2" max="2" width="2.86328125" style="3" customWidth="1"/>
    <col min="3" max="3" width="16" style="3" customWidth="1"/>
    <col min="4" max="5" width="14" style="3" customWidth="1"/>
    <col min="6" max="6" width="9" style="3"/>
    <col min="7" max="8" width="14" style="3" customWidth="1"/>
    <col min="9" max="9" width="3.3984375" style="4" customWidth="1"/>
    <col min="10" max="10" width="16" style="4" customWidth="1"/>
    <col min="11" max="11" width="13" style="4" customWidth="1"/>
    <col min="12" max="12" width="13" style="5" customWidth="1"/>
    <col min="13" max="13" width="10" style="4" customWidth="1"/>
    <col min="14" max="14" width="13" style="4" customWidth="1"/>
    <col min="15" max="15" width="19.73046875" style="4" customWidth="1"/>
    <col min="16" max="16" width="3.1328125" style="4" customWidth="1"/>
    <col min="17" max="17" width="15.59765625" style="274" hidden="1" customWidth="1"/>
    <col min="18" max="19" width="20.265625" style="288" hidden="1" customWidth="1"/>
    <col min="20" max="20" width="4" style="4" customWidth="1"/>
    <col min="21" max="21" width="16.1328125" style="4" customWidth="1"/>
    <col min="22" max="23" width="9" style="4" customWidth="1"/>
    <col min="24" max="24" width="11.86328125" style="4" customWidth="1"/>
    <col min="25" max="25" width="13.3984375" style="4" customWidth="1"/>
    <col min="26" max="16384" width="9" style="4"/>
  </cols>
  <sheetData>
    <row r="1" spans="1:18">
      <c r="H1" s="173" t="str">
        <f>'Instructions - Background'!B25</f>
        <v>Version 1.3 - September 2022</v>
      </c>
      <c r="J1" s="326"/>
      <c r="K1" s="326"/>
      <c r="L1" s="326"/>
      <c r="M1" s="326"/>
      <c r="N1" s="326"/>
      <c r="O1" s="326"/>
    </row>
    <row r="2" spans="1:18" ht="15" customHeight="1">
      <c r="B2" s="4"/>
      <c r="J2" s="326"/>
      <c r="K2" s="326"/>
      <c r="L2" s="326"/>
      <c r="M2" s="326"/>
      <c r="N2" s="326"/>
      <c r="O2" s="326"/>
    </row>
    <row r="3" spans="1:18" ht="30.75">
      <c r="B3" s="4"/>
      <c r="F3" s="262"/>
      <c r="G3" s="262"/>
      <c r="H3" s="263" t="s">
        <v>275</v>
      </c>
      <c r="I3" s="6"/>
      <c r="J3" s="326"/>
      <c r="K3" s="326"/>
      <c r="L3" s="326"/>
      <c r="M3" s="326"/>
      <c r="N3" s="326"/>
      <c r="O3" s="326"/>
    </row>
    <row r="4" spans="1:18" ht="15" customHeight="1" thickBot="1">
      <c r="B4" s="4"/>
      <c r="E4" s="262"/>
      <c r="F4" s="264"/>
      <c r="G4" s="264"/>
      <c r="H4" s="264"/>
      <c r="I4" s="6"/>
      <c r="J4" s="326"/>
      <c r="K4" s="326"/>
      <c r="L4" s="326"/>
      <c r="M4" s="326"/>
      <c r="N4" s="326"/>
      <c r="O4" s="326"/>
    </row>
    <row r="5" spans="1:18" ht="14.25" customHeight="1" thickBot="1">
      <c r="B5" s="4"/>
      <c r="E5" s="7" t="s">
        <v>87</v>
      </c>
      <c r="F5" s="323"/>
      <c r="G5" s="324"/>
      <c r="H5" s="325"/>
      <c r="I5" s="8"/>
      <c r="J5" s="10" t="s">
        <v>1</v>
      </c>
      <c r="M5" s="10" t="s">
        <v>279</v>
      </c>
    </row>
    <row r="6" spans="1:18">
      <c r="B6" s="4"/>
      <c r="C6" s="9" t="s">
        <v>0</v>
      </c>
      <c r="J6" s="328" t="s">
        <v>278</v>
      </c>
      <c r="K6" s="328"/>
      <c r="L6" s="328"/>
      <c r="M6" s="328" t="s">
        <v>6</v>
      </c>
      <c r="N6" s="328"/>
      <c r="O6" s="261" t="s">
        <v>267</v>
      </c>
    </row>
    <row r="7" spans="1:18">
      <c r="B7" s="4"/>
      <c r="C7" s="3" t="s">
        <v>204</v>
      </c>
      <c r="J7" s="329" t="s">
        <v>2</v>
      </c>
      <c r="K7" s="329"/>
      <c r="L7" s="329"/>
      <c r="M7" s="330" t="s">
        <v>3</v>
      </c>
      <c r="N7" s="330"/>
      <c r="O7" s="260"/>
    </row>
    <row r="8" spans="1:18">
      <c r="B8" s="4"/>
      <c r="C8" s="3" t="s">
        <v>266</v>
      </c>
      <c r="J8" s="328" t="s">
        <v>4</v>
      </c>
      <c r="K8" s="328"/>
      <c r="L8" s="328"/>
      <c r="M8" s="195" t="s">
        <v>280</v>
      </c>
      <c r="N8" s="196"/>
      <c r="O8" s="194" t="s">
        <v>281</v>
      </c>
    </row>
    <row r="9" spans="1:18">
      <c r="B9" s="4"/>
      <c r="C9" s="3" t="s">
        <v>246</v>
      </c>
      <c r="J9" s="328" t="s">
        <v>5</v>
      </c>
      <c r="K9" s="328"/>
      <c r="L9" s="328"/>
      <c r="M9" s="260"/>
      <c r="N9" s="260"/>
      <c r="O9" s="260"/>
    </row>
    <row r="10" spans="1:18" ht="14.65" thickBot="1">
      <c r="B10" s="4"/>
    </row>
    <row r="11" spans="1:18" ht="18">
      <c r="B11" s="4"/>
      <c r="C11" s="11" t="s">
        <v>7</v>
      </c>
      <c r="D11" s="12"/>
      <c r="E11" s="12"/>
      <c r="F11" s="12"/>
      <c r="G11" s="12"/>
      <c r="H11" s="13"/>
      <c r="J11" s="11" t="s">
        <v>8</v>
      </c>
      <c r="K11" s="12"/>
      <c r="L11" s="14"/>
      <c r="M11" s="12"/>
      <c r="N11" s="12"/>
      <c r="O11" s="13"/>
    </row>
    <row r="12" spans="1:18">
      <c r="B12" s="4"/>
      <c r="C12" s="15" t="s">
        <v>268</v>
      </c>
      <c r="D12" s="16"/>
      <c r="E12" s="16"/>
      <c r="F12" s="16"/>
      <c r="G12" s="16"/>
      <c r="H12" s="17"/>
      <c r="J12" s="15" t="s">
        <v>269</v>
      </c>
      <c r="K12" s="16"/>
      <c r="L12" s="18"/>
      <c r="M12" s="16"/>
      <c r="N12" s="16"/>
      <c r="O12" s="17"/>
    </row>
    <row r="13" spans="1:18" ht="14.65" thickBot="1">
      <c r="B13" s="4"/>
      <c r="C13" s="15" t="s">
        <v>9</v>
      </c>
      <c r="D13" s="16"/>
      <c r="E13" s="16"/>
      <c r="F13" s="16"/>
      <c r="G13" s="16"/>
      <c r="H13" s="17"/>
      <c r="J13" s="15"/>
      <c r="K13" s="16"/>
      <c r="L13" s="18"/>
      <c r="M13" s="16"/>
      <c r="N13" s="16"/>
      <c r="O13" s="17"/>
    </row>
    <row r="14" spans="1:18" ht="43.15" thickBot="1">
      <c r="B14" s="4"/>
      <c r="C14" s="19" t="s">
        <v>10</v>
      </c>
      <c r="D14" s="20" t="s">
        <v>11</v>
      </c>
      <c r="E14" s="21" t="s">
        <v>12</v>
      </c>
      <c r="F14" s="22" t="s">
        <v>13</v>
      </c>
      <c r="G14" s="23" t="s">
        <v>14</v>
      </c>
      <c r="H14" s="24" t="s">
        <v>15</v>
      </c>
      <c r="J14" s="25" t="s">
        <v>16</v>
      </c>
      <c r="K14" s="26" t="s">
        <v>17</v>
      </c>
      <c r="L14" s="18"/>
      <c r="M14" s="27" t="s">
        <v>165</v>
      </c>
      <c r="N14" s="28" t="s">
        <v>17</v>
      </c>
      <c r="O14" s="17"/>
    </row>
    <row r="15" spans="1:18" ht="14.65" thickBot="1">
      <c r="A15" s="172">
        <v>4</v>
      </c>
      <c r="B15" s="83" t="s">
        <v>160</v>
      </c>
      <c r="C15" s="15" t="s">
        <v>18</v>
      </c>
      <c r="D15" s="29">
        <v>1.2E-2</v>
      </c>
      <c r="E15" s="30">
        <v>2.8000000000000001E-2</v>
      </c>
      <c r="F15" s="31"/>
      <c r="G15" s="41">
        <f>F15*D15</f>
        <v>0</v>
      </c>
      <c r="H15" s="267">
        <f>E15*F15</f>
        <v>0</v>
      </c>
      <c r="J15" s="15"/>
      <c r="K15" s="16"/>
      <c r="L15" s="18"/>
      <c r="M15" s="16"/>
      <c r="N15" s="16"/>
      <c r="O15" s="17"/>
    </row>
    <row r="16" spans="1:18" ht="16.149999999999999" thickBot="1">
      <c r="A16" s="172">
        <v>4</v>
      </c>
      <c r="B16" s="83" t="s">
        <v>160</v>
      </c>
      <c r="C16" s="15" t="s">
        <v>166</v>
      </c>
      <c r="D16" s="29">
        <v>2.5000000000000001E-2</v>
      </c>
      <c r="E16" s="30">
        <v>0.04</v>
      </c>
      <c r="F16" s="33"/>
      <c r="G16" s="41">
        <f t="shared" ref="G16:G17" si="0">F16*D16</f>
        <v>0</v>
      </c>
      <c r="H16" s="267">
        <f t="shared" ref="H16:H17" si="1">E16*F16</f>
        <v>0</v>
      </c>
      <c r="J16" s="34" t="s">
        <v>19</v>
      </c>
      <c r="K16" s="16"/>
      <c r="L16" s="18"/>
      <c r="M16" s="16"/>
      <c r="N16" s="16"/>
      <c r="O16" s="17"/>
      <c r="R16" s="315"/>
    </row>
    <row r="17" spans="1:21" ht="14.65" thickBot="1">
      <c r="A17" s="172">
        <v>4</v>
      </c>
      <c r="B17" s="83" t="s">
        <v>160</v>
      </c>
      <c r="C17" s="15" t="s">
        <v>20</v>
      </c>
      <c r="D17" s="29">
        <v>2.5000000000000001E-2</v>
      </c>
      <c r="E17" s="30">
        <v>0.04</v>
      </c>
      <c r="F17" s="31"/>
      <c r="G17" s="41">
        <f t="shared" si="0"/>
        <v>0</v>
      </c>
      <c r="H17" s="267">
        <f t="shared" si="1"/>
        <v>0</v>
      </c>
      <c r="J17" s="66" t="str">
        <f>IF($K$14="Conservative","Conservative power headroom for long cable distances or congested/busy systems.",IF($K$14="Normal","Normal power headroom is appropriate for most applications. ",IF($K$14="Aggressive","Not appropriate for loud enviorments or busy systems.","Something is not right with this Excel file, please let us know")))</f>
        <v xml:space="preserve">Normal power headroom is appropriate for most applications. </v>
      </c>
      <c r="K17" s="16"/>
      <c r="L17" s="16"/>
      <c r="M17" s="16"/>
      <c r="N17" s="16"/>
      <c r="O17" s="17"/>
    </row>
    <row r="18" spans="1:21" ht="14.65" thickBot="1">
      <c r="A18" s="172">
        <v>4</v>
      </c>
      <c r="B18" s="83" t="s">
        <v>160</v>
      </c>
      <c r="C18" s="15" t="s">
        <v>21</v>
      </c>
      <c r="D18" s="29">
        <v>0.09</v>
      </c>
      <c r="E18" s="30">
        <v>0.11</v>
      </c>
      <c r="F18" s="33"/>
      <c r="G18" s="41">
        <f t="shared" ref="G18:G24" si="2">F18*D18</f>
        <v>0</v>
      </c>
      <c r="H18" s="267">
        <f t="shared" ref="H18:H24" si="3">E18*F18</f>
        <v>0</v>
      </c>
      <c r="J18" s="66" t="str">
        <f>IF($N$14="Paralell PSU","Combined power budget is reduced. Use common AC ground. Consider isolation via MT-701.","")</f>
        <v/>
      </c>
      <c r="K18" s="16"/>
      <c r="L18" s="16"/>
      <c r="M18" s="16"/>
      <c r="N18" s="16"/>
      <c r="O18" s="17"/>
    </row>
    <row r="19" spans="1:21" ht="14.65" thickBot="1">
      <c r="A19" s="172">
        <v>4</v>
      </c>
      <c r="B19" s="83" t="s">
        <v>160</v>
      </c>
      <c r="C19" s="15" t="s">
        <v>22</v>
      </c>
      <c r="D19" s="29">
        <v>0.16500000000000001</v>
      </c>
      <c r="E19" s="30">
        <v>0.19500000000000001</v>
      </c>
      <c r="F19" s="31"/>
      <c r="G19" s="41">
        <f t="shared" si="2"/>
        <v>0</v>
      </c>
      <c r="H19" s="267">
        <f t="shared" si="3"/>
        <v>0</v>
      </c>
      <c r="J19" s="277"/>
      <c r="K19" s="57"/>
      <c r="L19" s="57"/>
      <c r="M19" s="57"/>
      <c r="N19" s="57"/>
      <c r="O19" s="58"/>
    </row>
    <row r="20" spans="1:21" ht="14.65" thickBot="1">
      <c r="A20" s="172">
        <v>4</v>
      </c>
      <c r="B20" s="83" t="s">
        <v>160</v>
      </c>
      <c r="C20" s="15" t="s">
        <v>23</v>
      </c>
      <c r="D20" s="29">
        <v>0.09</v>
      </c>
      <c r="E20" s="30">
        <v>0.11</v>
      </c>
      <c r="F20" s="33"/>
      <c r="G20" s="41">
        <f t="shared" si="2"/>
        <v>0</v>
      </c>
      <c r="H20" s="267">
        <f t="shared" si="3"/>
        <v>0</v>
      </c>
    </row>
    <row r="21" spans="1:21" ht="18.399999999999999" thickBot="1">
      <c r="A21" s="172">
        <v>4</v>
      </c>
      <c r="B21" s="83" t="s">
        <v>160</v>
      </c>
      <c r="C21" s="15" t="s">
        <v>25</v>
      </c>
      <c r="D21" s="29">
        <v>0.09</v>
      </c>
      <c r="E21" s="30">
        <v>0.11</v>
      </c>
      <c r="F21" s="31"/>
      <c r="G21" s="41">
        <f t="shared" si="2"/>
        <v>0</v>
      </c>
      <c r="H21" s="267">
        <f t="shared" si="3"/>
        <v>0</v>
      </c>
      <c r="J21" s="11" t="s">
        <v>24</v>
      </c>
      <c r="K21" s="12"/>
      <c r="L21" s="14"/>
      <c r="M21" s="12"/>
      <c r="N21" s="12"/>
      <c r="O21" s="13"/>
      <c r="Q21" s="309"/>
      <c r="R21" s="312" t="s">
        <v>393</v>
      </c>
      <c r="S21" s="316">
        <v>1.5</v>
      </c>
    </row>
    <row r="22" spans="1:21" ht="14.65" thickBot="1">
      <c r="A22" s="172">
        <v>4</v>
      </c>
      <c r="B22" s="83" t="s">
        <v>160</v>
      </c>
      <c r="C22" s="15" t="s">
        <v>209</v>
      </c>
      <c r="D22" s="29">
        <v>0.09</v>
      </c>
      <c r="E22" s="30">
        <v>0.11</v>
      </c>
      <c r="F22" s="33"/>
      <c r="G22" s="41">
        <f t="shared" si="2"/>
        <v>0</v>
      </c>
      <c r="H22" s="267">
        <f t="shared" si="3"/>
        <v>0</v>
      </c>
      <c r="J22" s="15" t="s">
        <v>189</v>
      </c>
      <c r="K22" s="16"/>
      <c r="L22" s="16"/>
      <c r="M22" s="16"/>
      <c r="N22" s="16"/>
      <c r="O22" s="17"/>
      <c r="Q22" s="309"/>
      <c r="R22" s="317" t="s">
        <v>380</v>
      </c>
      <c r="S22" s="311"/>
    </row>
    <row r="23" spans="1:21" ht="14.65" thickBot="1">
      <c r="A23" s="172">
        <v>4</v>
      </c>
      <c r="B23" s="83" t="s">
        <v>160</v>
      </c>
      <c r="C23" s="15" t="s">
        <v>28</v>
      </c>
      <c r="D23" s="38">
        <v>0.05</v>
      </c>
      <c r="E23" s="30">
        <v>0.1</v>
      </c>
      <c r="F23" s="31"/>
      <c r="G23" s="41">
        <f t="shared" si="2"/>
        <v>0</v>
      </c>
      <c r="H23" s="267">
        <f t="shared" si="3"/>
        <v>0</v>
      </c>
      <c r="J23" s="15"/>
      <c r="K23" s="20" t="s">
        <v>103</v>
      </c>
      <c r="L23" s="16"/>
      <c r="M23" s="20" t="s">
        <v>27</v>
      </c>
      <c r="N23" s="16"/>
      <c r="O23" s="46"/>
      <c r="Q23" s="309" t="s">
        <v>385</v>
      </c>
      <c r="R23" s="310" t="s">
        <v>378</v>
      </c>
      <c r="S23" s="310" t="s">
        <v>379</v>
      </c>
    </row>
    <row r="24" spans="1:21" ht="14.65" thickBot="1">
      <c r="A24" s="172">
        <v>4</v>
      </c>
      <c r="B24" s="83" t="s">
        <v>160</v>
      </c>
      <c r="C24" s="15" t="s">
        <v>31</v>
      </c>
      <c r="D24" s="38">
        <v>0.05</v>
      </c>
      <c r="E24" s="30">
        <v>0.1</v>
      </c>
      <c r="F24" s="40"/>
      <c r="G24" s="41">
        <f t="shared" si="2"/>
        <v>0</v>
      </c>
      <c r="H24" s="267">
        <f t="shared" si="3"/>
        <v>0</v>
      </c>
      <c r="J24" s="39"/>
      <c r="K24" s="20" t="s">
        <v>29</v>
      </c>
      <c r="L24" s="22" t="s">
        <v>13</v>
      </c>
      <c r="M24" s="20" t="s">
        <v>30</v>
      </c>
      <c r="N24" s="16"/>
      <c r="O24" s="46"/>
      <c r="Q24" s="309"/>
      <c r="R24" s="310"/>
      <c r="S24" s="310"/>
    </row>
    <row r="25" spans="1:21" ht="14.65" thickBot="1">
      <c r="B25" s="4"/>
      <c r="C25" s="39" t="s">
        <v>33</v>
      </c>
      <c r="D25" s="38"/>
      <c r="E25" s="16"/>
      <c r="F25" s="16"/>
      <c r="G25" s="268"/>
      <c r="H25" s="269"/>
      <c r="I25" s="83" t="s">
        <v>160</v>
      </c>
      <c r="J25" s="67" t="s">
        <v>160</v>
      </c>
      <c r="K25" s="26" t="s">
        <v>167</v>
      </c>
      <c r="L25" s="55">
        <f>SUM(L26:L31)</f>
        <v>0</v>
      </c>
      <c r="M25" s="16"/>
      <c r="N25" s="16"/>
      <c r="O25" s="46"/>
      <c r="P25" s="64"/>
      <c r="Q25" s="309">
        <f>2*30</f>
        <v>60</v>
      </c>
      <c r="R25" s="310">
        <f>L26*D18*30*$S$21</f>
        <v>0</v>
      </c>
      <c r="S25" s="310">
        <f>L26*E18*30*$S$21</f>
        <v>0</v>
      </c>
    </row>
    <row r="26" spans="1:21" ht="14.65" thickBot="1">
      <c r="A26" s="172">
        <v>4</v>
      </c>
      <c r="B26" s="83" t="s">
        <v>160</v>
      </c>
      <c r="C26" s="81" t="s">
        <v>138</v>
      </c>
      <c r="D26" s="30">
        <v>1.7999999999999999E-2</v>
      </c>
      <c r="E26" s="30">
        <v>1.7999999999999999E-2</v>
      </c>
      <c r="F26" s="31"/>
      <c r="G26" s="41">
        <f>F26*D26</f>
        <v>0</v>
      </c>
      <c r="H26" s="267">
        <f>E26*F26</f>
        <v>0</v>
      </c>
      <c r="I26" s="83" t="s">
        <v>160</v>
      </c>
      <c r="J26" s="15" t="s">
        <v>38</v>
      </c>
      <c r="K26" s="42">
        <f t="shared" ref="K26:K31" si="4">IF($K$25="per Channel",1.2,2)</f>
        <v>2</v>
      </c>
      <c r="L26" s="43"/>
      <c r="M26" s="42">
        <f>L26*(K26*IF($K$14="Aggressive",'Hidden Background Parameters'!$B$4,IF($K$14="Conservative",'Hidden Background Parameters'!$B$2,IF($K$14="normal",'Hidden Background Parameters'!$B$3,10000000000))))*IF($N$14="Parallel PSU",'Hidden Background Parameters'!$B$10,1)</f>
        <v>0</v>
      </c>
      <c r="N26" s="16"/>
      <c r="O26" s="46"/>
      <c r="P26" s="64"/>
      <c r="Q26" s="309">
        <f t="shared" ref="Q26:Q30" si="5">2*30</f>
        <v>60</v>
      </c>
      <c r="R26" s="310">
        <f>L27*D18*30*$S$21</f>
        <v>0</v>
      </c>
      <c r="S26" s="310">
        <f>L27*E18*30*$S$21</f>
        <v>0</v>
      </c>
    </row>
    <row r="27" spans="1:21" ht="14.65" thickBot="1">
      <c r="A27" s="197">
        <v>3</v>
      </c>
      <c r="B27" s="84" t="s">
        <v>158</v>
      </c>
      <c r="C27" s="81" t="s">
        <v>224</v>
      </c>
      <c r="D27" s="30">
        <v>0.04</v>
      </c>
      <c r="E27" s="30">
        <v>0.04</v>
      </c>
      <c r="F27" s="31"/>
      <c r="G27" s="41">
        <f>F27*D27</f>
        <v>0</v>
      </c>
      <c r="H27" s="267">
        <f>E27*F27</f>
        <v>0</v>
      </c>
      <c r="I27" s="83" t="s">
        <v>160</v>
      </c>
      <c r="J27" s="15" t="s">
        <v>244</v>
      </c>
      <c r="K27" s="42">
        <f t="shared" si="4"/>
        <v>2</v>
      </c>
      <c r="L27" s="43"/>
      <c r="M27" s="42">
        <f>L27*(K27*IF($K$14="Aggressive",'Hidden Background Parameters'!$B$4,IF($K$14="Conservative",'Hidden Background Parameters'!$B$2,IF($K$14="normal",'Hidden Background Parameters'!$B$3,10000000000))))*IF($N$14="Parallel PSU",'Hidden Background Parameters'!$B$10,1)</f>
        <v>0</v>
      </c>
      <c r="N27" s="16"/>
      <c r="O27" s="46"/>
      <c r="P27" s="64"/>
      <c r="Q27" s="309">
        <f t="shared" si="5"/>
        <v>60</v>
      </c>
      <c r="R27" s="310">
        <f>L28*D19*30*$S$21</f>
        <v>0</v>
      </c>
      <c r="S27" s="310">
        <f>L28*E19*30*$S$21</f>
        <v>0</v>
      </c>
    </row>
    <row r="28" spans="1:21" ht="14.65" thickBot="1">
      <c r="A28" s="172">
        <v>4</v>
      </c>
      <c r="B28" s="83" t="s">
        <v>160</v>
      </c>
      <c r="C28" s="15" t="s">
        <v>34</v>
      </c>
      <c r="D28" s="29">
        <v>7.0000000000000007E-2</v>
      </c>
      <c r="E28" s="30">
        <v>0.08</v>
      </c>
      <c r="F28" s="31"/>
      <c r="G28" s="41">
        <f>F28*D28</f>
        <v>0</v>
      </c>
      <c r="H28" s="267">
        <f>E28*F28</f>
        <v>0</v>
      </c>
      <c r="I28" s="83" t="s">
        <v>160</v>
      </c>
      <c r="J28" s="15" t="s">
        <v>184</v>
      </c>
      <c r="K28" s="42">
        <f t="shared" si="4"/>
        <v>2</v>
      </c>
      <c r="L28" s="43"/>
      <c r="M28" s="42">
        <f>L28*(K28*IF($K$14="Aggressive",'Hidden Background Parameters'!$B$4,IF($K$14="Conservative",'Hidden Background Parameters'!$B$2,IF($K$14="normal",'Hidden Background Parameters'!$B$3,10000000000))))*IF($N$14="Parallel PSU",'Hidden Background Parameters'!$B$10,1)</f>
        <v>0</v>
      </c>
      <c r="N28" s="16"/>
      <c r="O28" s="46"/>
      <c r="P28" s="82"/>
      <c r="Q28" s="309">
        <f t="shared" si="5"/>
        <v>60</v>
      </c>
      <c r="R28" s="310">
        <f>L29*D18*30*$S$21</f>
        <v>0</v>
      </c>
      <c r="S28" s="310">
        <f>L29*E18*30*$S$21</f>
        <v>0</v>
      </c>
    </row>
    <row r="29" spans="1:21" ht="14.65" thickBot="1">
      <c r="A29" s="172">
        <v>4</v>
      </c>
      <c r="B29" s="83" t="s">
        <v>160</v>
      </c>
      <c r="C29" s="15" t="s">
        <v>35</v>
      </c>
      <c r="D29" s="29">
        <v>0.04</v>
      </c>
      <c r="E29" s="30">
        <v>0.05</v>
      </c>
      <c r="F29" s="33"/>
      <c r="G29" s="41">
        <f>F29*D29</f>
        <v>0</v>
      </c>
      <c r="H29" s="267">
        <f>E29*F29</f>
        <v>0</v>
      </c>
      <c r="I29" s="83" t="s">
        <v>160</v>
      </c>
      <c r="J29" s="15" t="s">
        <v>180</v>
      </c>
      <c r="K29" s="42">
        <f t="shared" si="4"/>
        <v>2</v>
      </c>
      <c r="L29" s="43"/>
      <c r="M29" s="42">
        <f>L29*(K29*IF($K$14="Aggressive",'Hidden Background Parameters'!$B$4,IF($K$14="Conservative",'Hidden Background Parameters'!$B$2,IF($K$14="normal",'Hidden Background Parameters'!$B$3,10000000000))))*IF($N$14="Parallel PSU",'Hidden Background Parameters'!$B$10,1)</f>
        <v>0</v>
      </c>
      <c r="N29" s="16"/>
      <c r="O29" s="46"/>
      <c r="P29" s="82"/>
      <c r="Q29" s="309">
        <f t="shared" si="5"/>
        <v>60</v>
      </c>
      <c r="R29" s="310">
        <f>L30*D19*30*$S$21</f>
        <v>0</v>
      </c>
      <c r="S29" s="310">
        <f>L30*E18*30*$S$21</f>
        <v>0</v>
      </c>
    </row>
    <row r="30" spans="1:21" ht="14.65" thickBot="1">
      <c r="A30" s="172">
        <v>4</v>
      </c>
      <c r="B30" s="83" t="s">
        <v>160</v>
      </c>
      <c r="C30" s="15" t="s">
        <v>36</v>
      </c>
      <c r="D30" s="29">
        <v>0.01</v>
      </c>
      <c r="E30" s="30">
        <v>0.09</v>
      </c>
      <c r="F30" s="31"/>
      <c r="G30" s="41">
        <f>F30*D30</f>
        <v>0</v>
      </c>
      <c r="H30" s="267">
        <f>E30*F30</f>
        <v>0</v>
      </c>
      <c r="I30" s="83" t="s">
        <v>160</v>
      </c>
      <c r="J30" s="15" t="s">
        <v>182</v>
      </c>
      <c r="K30" s="42">
        <f t="shared" si="4"/>
        <v>2</v>
      </c>
      <c r="L30" s="43"/>
      <c r="M30" s="42">
        <f>L30*(K30*IF($K$14="Aggressive",'Hidden Background Parameters'!$B$4,IF($K$14="Conservative",'Hidden Background Parameters'!$B$2,IF($K$14="normal",'Hidden Background Parameters'!$B$3,10000000000))))*IF($N$14="Parallel PSU",'Hidden Background Parameters'!$B$10,1)</f>
        <v>0</v>
      </c>
      <c r="N30" s="16"/>
      <c r="O30" s="46"/>
      <c r="P30" s="82"/>
      <c r="Q30" s="309">
        <f t="shared" si="5"/>
        <v>60</v>
      </c>
      <c r="R30" s="310">
        <f>L31*D19*30*$S$21</f>
        <v>0</v>
      </c>
      <c r="S30" s="310">
        <f>L31*E19*30*$S$21</f>
        <v>0</v>
      </c>
    </row>
    <row r="31" spans="1:21" ht="14.65" thickBot="1">
      <c r="A31" s="172">
        <v>4</v>
      </c>
      <c r="B31" s="83" t="s">
        <v>160</v>
      </c>
      <c r="C31" s="49" t="s">
        <v>37</v>
      </c>
      <c r="D31" s="30">
        <v>5.0000000000000001E-3</v>
      </c>
      <c r="E31" s="30">
        <v>5.0000000000000001E-3</v>
      </c>
      <c r="F31" s="33"/>
      <c r="G31" s="29">
        <f t="shared" ref="G31" si="6">F31*D31</f>
        <v>0</v>
      </c>
      <c r="H31" s="32">
        <f t="shared" ref="H31" si="7">E31*F31</f>
        <v>0</v>
      </c>
      <c r="J31" s="15" t="s">
        <v>42</v>
      </c>
      <c r="K31" s="42">
        <f t="shared" si="4"/>
        <v>2</v>
      </c>
      <c r="L31" s="43"/>
      <c r="M31" s="42">
        <f>L31*(K31*IF($K$14="Aggressive",'Hidden Background Parameters'!$B$4,IF($K$14="Conservative",'Hidden Background Parameters'!$B$2,IF($K$14="normal",'Hidden Background Parameters'!$B$3,10000000000))))*IF($N$14="Parallel PSU",'Hidden Background Parameters'!$B$10,1)</f>
        <v>0</v>
      </c>
      <c r="N31" s="16"/>
      <c r="O31" s="46"/>
      <c r="P31" s="82"/>
      <c r="Q31" s="319"/>
      <c r="R31" s="312"/>
      <c r="S31" s="312"/>
      <c r="U31" s="10"/>
    </row>
    <row r="32" spans="1:21" ht="14.65" thickBot="1">
      <c r="A32" s="172">
        <v>4</v>
      </c>
      <c r="B32" s="83" t="s">
        <v>160</v>
      </c>
      <c r="C32" s="15" t="s">
        <v>39</v>
      </c>
      <c r="D32" s="29">
        <v>0.08</v>
      </c>
      <c r="E32" s="29">
        <v>0.08</v>
      </c>
      <c r="F32" s="31"/>
      <c r="G32" s="41">
        <f>F32*D32</f>
        <v>0</v>
      </c>
      <c r="H32" s="267">
        <f>E32*F32</f>
        <v>0</v>
      </c>
      <c r="J32" s="47" t="s">
        <v>171</v>
      </c>
      <c r="K32" s="16"/>
      <c r="L32" s="16"/>
      <c r="M32" s="50"/>
      <c r="N32" s="16"/>
      <c r="O32" s="46"/>
      <c r="P32" s="64"/>
      <c r="Q32" s="309"/>
      <c r="R32" s="312"/>
      <c r="S32" s="312"/>
      <c r="U32" s="10"/>
    </row>
    <row r="33" spans="1:22" ht="14.65" thickBot="1">
      <c r="A33" s="172">
        <v>4</v>
      </c>
      <c r="B33" s="83" t="s">
        <v>160</v>
      </c>
      <c r="C33" s="15" t="s">
        <v>40</v>
      </c>
      <c r="D33" s="29">
        <v>0.04</v>
      </c>
      <c r="E33" s="30">
        <v>0.05</v>
      </c>
      <c r="F33" s="33"/>
      <c r="G33" s="41">
        <f t="shared" ref="G33:G35" si="8">F33*D33</f>
        <v>0</v>
      </c>
      <c r="H33" s="267">
        <f t="shared" ref="H33:H35" si="9">E33*F33</f>
        <v>0</v>
      </c>
      <c r="J33" s="15"/>
      <c r="K33" s="16"/>
      <c r="L33" s="16"/>
      <c r="M33" s="16"/>
      <c r="N33" s="16"/>
      <c r="O33" s="46"/>
      <c r="P33" s="64"/>
      <c r="Q33" s="309"/>
      <c r="R33" s="312"/>
      <c r="S33" s="312"/>
      <c r="T33" s="3"/>
      <c r="U33" s="10"/>
    </row>
    <row r="34" spans="1:22" ht="15" customHeight="1" thickBot="1">
      <c r="A34" s="172">
        <v>4</v>
      </c>
      <c r="B34" s="83" t="s">
        <v>160</v>
      </c>
      <c r="C34" s="15" t="s">
        <v>41</v>
      </c>
      <c r="D34" s="29">
        <v>0.05</v>
      </c>
      <c r="E34" s="30">
        <v>0.06</v>
      </c>
      <c r="F34" s="31"/>
      <c r="G34" s="41">
        <f t="shared" si="8"/>
        <v>0</v>
      </c>
      <c r="H34" s="267">
        <f t="shared" si="9"/>
        <v>0</v>
      </c>
      <c r="I34" s="83" t="s">
        <v>192</v>
      </c>
      <c r="J34" s="67" t="s">
        <v>408</v>
      </c>
      <c r="K34" s="26" t="s">
        <v>169</v>
      </c>
      <c r="L34" s="48"/>
      <c r="M34" s="63"/>
      <c r="N34" s="16"/>
      <c r="O34" s="46"/>
      <c r="P34" s="64"/>
      <c r="Q34" s="309">
        <v>60</v>
      </c>
      <c r="R34" s="312">
        <f>L37*$S$21*9999999999</f>
        <v>0</v>
      </c>
      <c r="S34" s="312">
        <f>L37*$S$21*9999999999</f>
        <v>0</v>
      </c>
      <c r="T34" s="3"/>
      <c r="U34" s="10"/>
    </row>
    <row r="35" spans="1:22" ht="14.65" thickBot="1">
      <c r="A35" s="172">
        <v>4</v>
      </c>
      <c r="B35" s="83" t="s">
        <v>160</v>
      </c>
      <c r="C35" s="15" t="s">
        <v>43</v>
      </c>
      <c r="D35" s="30">
        <v>0.03</v>
      </c>
      <c r="E35" s="30">
        <v>0.03</v>
      </c>
      <c r="F35" s="40"/>
      <c r="G35" s="41">
        <f t="shared" si="8"/>
        <v>0</v>
      </c>
      <c r="H35" s="267">
        <f t="shared" si="9"/>
        <v>0</v>
      </c>
      <c r="I35" s="83" t="s">
        <v>192</v>
      </c>
      <c r="J35" s="15" t="s">
        <v>405</v>
      </c>
      <c r="K35" s="42">
        <f>IF($K$34="per Device",2*0.56,0.56)</f>
        <v>1.1200000000000001</v>
      </c>
      <c r="L35" s="43"/>
      <c r="M35" s="42">
        <f>L35*(K35*IF($K$14="Aggressive",'Hidden Background Parameters'!$D$4,IF($K$14="Conservative",'Hidden Background Parameters'!$D$2,IF($K$14="normal",'Hidden Background Parameters'!$D$3,10000000000))))*IF($N$14="Parallel PSU",'Hidden Background Parameters'!$B$10,1)</f>
        <v>0</v>
      </c>
      <c r="N35" s="16"/>
      <c r="O35" s="46"/>
      <c r="Q35" s="309">
        <v>24</v>
      </c>
      <c r="R35" s="312">
        <f>L36*$S$21*9999999999</f>
        <v>0</v>
      </c>
      <c r="S35" s="312">
        <f>L36*$S$21*9999999999</f>
        <v>0</v>
      </c>
      <c r="T35" s="53"/>
      <c r="U35" s="10"/>
    </row>
    <row r="36" spans="1:22" ht="14.65" thickBot="1">
      <c r="A36" s="172">
        <v>4</v>
      </c>
      <c r="B36" s="83" t="s">
        <v>160</v>
      </c>
      <c r="C36" s="15" t="s">
        <v>403</v>
      </c>
      <c r="D36" s="30">
        <v>6.5000000000000002E-2</v>
      </c>
      <c r="E36" s="30">
        <v>6.5000000000000002E-2</v>
      </c>
      <c r="F36" s="40"/>
      <c r="G36" s="41">
        <f t="shared" ref="G36" si="10">F36*D36</f>
        <v>0</v>
      </c>
      <c r="H36" s="267">
        <f t="shared" ref="H36" si="11">E36*F36</f>
        <v>0</v>
      </c>
      <c r="I36" s="83" t="s">
        <v>192</v>
      </c>
      <c r="J36" s="15" t="s">
        <v>404</v>
      </c>
      <c r="K36" s="42">
        <f>IF($K$34="per Device",2*0.56,0.56)</f>
        <v>1.1200000000000001</v>
      </c>
      <c r="L36" s="43"/>
      <c r="M36" s="42">
        <f>L36*(K36*IF($K$14="Aggressive",'Hidden Background Parameters'!$D$4,IF($K$14="Conservative",'Hidden Background Parameters'!$D$2,IF($K$14="normal",'Hidden Background Parameters'!$D$3,10000000000))))*IF($N$14="Parallel PSU",'Hidden Background Parameters'!$B$10,1)</f>
        <v>0</v>
      </c>
      <c r="N36" s="16"/>
      <c r="O36" s="46"/>
      <c r="Q36" s="309">
        <v>24</v>
      </c>
      <c r="R36" s="312">
        <f>L37*$S$21*9999999999</f>
        <v>0</v>
      </c>
      <c r="S36" s="312">
        <f>L37*$S$21*9999999999</f>
        <v>0</v>
      </c>
      <c r="T36" s="53"/>
      <c r="U36" s="10"/>
    </row>
    <row r="37" spans="1:22" ht="14.65" thickBot="1">
      <c r="A37" s="172">
        <v>4</v>
      </c>
      <c r="B37" s="83" t="s">
        <v>160</v>
      </c>
      <c r="C37" s="15" t="s">
        <v>254</v>
      </c>
      <c r="D37" s="30">
        <v>0.03</v>
      </c>
      <c r="E37" s="30">
        <v>0.03</v>
      </c>
      <c r="F37" s="40"/>
      <c r="G37" s="41">
        <f>F37*D37</f>
        <v>0</v>
      </c>
      <c r="H37" s="267">
        <f>E37*F37</f>
        <v>0</v>
      </c>
      <c r="I37" s="83" t="s">
        <v>192</v>
      </c>
      <c r="J37" s="15" t="s">
        <v>47</v>
      </c>
      <c r="K37" s="42">
        <f>IF($K$34="per Device",2*0.4,0.4)</f>
        <v>0.8</v>
      </c>
      <c r="L37" s="43"/>
      <c r="M37" s="42">
        <f>L37*(K37*IF($K$14="Aggressive",'Hidden Background Parameters'!$D$4,IF($K$14="Conservative",'Hidden Background Parameters'!$D$2,IF($K$14="normal",'Hidden Background Parameters'!$D$3,10000000000))))*IF($N$14="Parallel PSU",'Hidden Background Parameters'!$B$10,1)</f>
        <v>0</v>
      </c>
      <c r="N37" s="16"/>
      <c r="O37" s="46"/>
      <c r="Q37" s="309">
        <v>24</v>
      </c>
      <c r="R37" s="312">
        <f>L38*$S$21*9999999999</f>
        <v>0</v>
      </c>
      <c r="S37" s="312">
        <f t="shared" ref="S37:S39" si="12">L38*$S$21*9999999999</f>
        <v>0</v>
      </c>
      <c r="T37" s="53"/>
      <c r="U37" s="10"/>
    </row>
    <row r="38" spans="1:22" ht="14.65" thickBot="1">
      <c r="A38" s="172">
        <v>5</v>
      </c>
      <c r="B38" s="83" t="s">
        <v>192</v>
      </c>
      <c r="C38" s="81" t="s">
        <v>407</v>
      </c>
      <c r="D38" s="30">
        <v>0.01</v>
      </c>
      <c r="E38" s="30">
        <v>0.01</v>
      </c>
      <c r="F38" s="31"/>
      <c r="G38" s="41">
        <f>F38*D38</f>
        <v>0</v>
      </c>
      <c r="H38" s="267">
        <f>E38*F38</f>
        <v>0</v>
      </c>
      <c r="I38" s="83" t="s">
        <v>192</v>
      </c>
      <c r="J38" s="15" t="s">
        <v>49</v>
      </c>
      <c r="K38" s="42">
        <v>7.0000000000000007E-2</v>
      </c>
      <c r="L38" s="43"/>
      <c r="M38" s="42">
        <f>L38*(K38*IF($K$14="Aggressive",'Hidden Background Parameters'!$D$4,IF($K$14="Conservative",'Hidden Background Parameters'!$D$2,IF($K$14="normal",'Hidden Background Parameters'!$D$3,10000000000))))*IF($N$14="Parallel PSU",'Hidden Background Parameters'!$B$10,1)</f>
        <v>0</v>
      </c>
      <c r="N38" s="16"/>
      <c r="O38" s="46"/>
      <c r="P38" s="82"/>
      <c r="Q38" s="309">
        <v>24</v>
      </c>
      <c r="R38" s="312">
        <f>L39*$S$21*9999999999</f>
        <v>0</v>
      </c>
      <c r="S38" s="312">
        <f t="shared" si="12"/>
        <v>0</v>
      </c>
      <c r="U38" s="10"/>
    </row>
    <row r="39" spans="1:22" ht="14.65" thickBot="1">
      <c r="A39" s="172">
        <v>5</v>
      </c>
      <c r="B39" s="83" t="s">
        <v>192</v>
      </c>
      <c r="C39" s="81" t="s">
        <v>406</v>
      </c>
      <c r="D39" s="30">
        <v>0.01</v>
      </c>
      <c r="E39" s="30">
        <v>0.01</v>
      </c>
      <c r="F39" s="31"/>
      <c r="G39" s="41">
        <f>F39*D39</f>
        <v>0</v>
      </c>
      <c r="H39" s="267">
        <f>E39*F39</f>
        <v>0</v>
      </c>
      <c r="I39" s="83" t="s">
        <v>192</v>
      </c>
      <c r="J39" s="15" t="s">
        <v>51</v>
      </c>
      <c r="K39" s="42">
        <v>0.15</v>
      </c>
      <c r="L39" s="43"/>
      <c r="M39" s="42">
        <f>L39*(K39*IF($K$14="Aggressive",'Hidden Background Parameters'!$D$4,IF($K$14="Conservative",'Hidden Background Parameters'!$D$2,IF($K$14="normal",'Hidden Background Parameters'!$D$3,10000000000))))*IF($N$14="Parallel PSU",'Hidden Background Parameters'!$B$10,1)</f>
        <v>0</v>
      </c>
      <c r="N39" s="16"/>
      <c r="O39" s="46"/>
      <c r="P39" s="82"/>
      <c r="Q39" s="309">
        <v>60</v>
      </c>
      <c r="R39" s="312">
        <f>L40*$S$21*9999999999</f>
        <v>0</v>
      </c>
      <c r="S39" s="312">
        <f t="shared" si="12"/>
        <v>0</v>
      </c>
      <c r="U39" s="10"/>
    </row>
    <row r="40" spans="1:22" ht="14.65" thickBot="1">
      <c r="A40" s="172">
        <v>5</v>
      </c>
      <c r="B40" s="83" t="s">
        <v>192</v>
      </c>
      <c r="C40" s="81" t="s">
        <v>222</v>
      </c>
      <c r="D40" s="30">
        <v>0.01</v>
      </c>
      <c r="E40" s="30">
        <v>0.01</v>
      </c>
      <c r="F40" s="31"/>
      <c r="G40" s="41">
        <f>F40*D40</f>
        <v>0</v>
      </c>
      <c r="H40" s="267">
        <f>E40*F40</f>
        <v>0</v>
      </c>
      <c r="J40" s="15" t="s">
        <v>53</v>
      </c>
      <c r="K40" s="41">
        <f>IF($K$34="per Device",2*0.25,0.25)</f>
        <v>0.5</v>
      </c>
      <c r="L40" s="43"/>
      <c r="M40" s="42">
        <f>L40*(K40*IF($K$14="Aggressive",'Hidden Background Parameters'!$D$4,IF($K$14="Conservative",'Hidden Background Parameters'!$D$2,IF($K$14="normal",'Hidden Background Parameters'!$D$3,10000000000))))*IF($N$14="Parallel PSU",'Hidden Background Parameters'!$B$10,1)</f>
        <v>0</v>
      </c>
      <c r="N40" s="16"/>
      <c r="O40" s="46"/>
      <c r="P40" s="82"/>
      <c r="Q40" s="309"/>
      <c r="R40" s="312"/>
      <c r="S40" s="312"/>
    </row>
    <row r="41" spans="1:22" ht="14.65" thickBot="1">
      <c r="B41" s="4"/>
      <c r="C41" s="81" t="s">
        <v>206</v>
      </c>
      <c r="D41" s="30">
        <v>2.5000000000000001E-2</v>
      </c>
      <c r="E41" s="30">
        <v>2.5000000000000001E-2</v>
      </c>
      <c r="F41" s="31"/>
      <c r="G41" s="41">
        <f>F41*D41</f>
        <v>0</v>
      </c>
      <c r="H41" s="267">
        <f>E41*F41</f>
        <v>0</v>
      </c>
      <c r="J41" s="62" t="s">
        <v>164</v>
      </c>
      <c r="K41" s="16"/>
      <c r="L41" s="44"/>
      <c r="M41" s="42"/>
      <c r="N41" s="16"/>
      <c r="O41" s="17"/>
      <c r="P41" s="82"/>
      <c r="Q41" s="309"/>
      <c r="R41" s="312"/>
      <c r="S41" s="312"/>
      <c r="U41" s="3"/>
      <c r="V41" s="3"/>
    </row>
    <row r="42" spans="1:22" ht="14.65" thickBot="1">
      <c r="A42" s="172">
        <v>4</v>
      </c>
      <c r="B42" s="83" t="s">
        <v>160</v>
      </c>
      <c r="C42" s="81" t="s">
        <v>207</v>
      </c>
      <c r="D42" s="30">
        <v>0.01</v>
      </c>
      <c r="E42" s="30">
        <v>0.01</v>
      </c>
      <c r="F42" s="40"/>
      <c r="G42" s="41">
        <f>F42*D42</f>
        <v>0</v>
      </c>
      <c r="H42" s="267">
        <f>E42*F42</f>
        <v>0</v>
      </c>
      <c r="J42" s="15"/>
      <c r="K42" s="16"/>
      <c r="L42" s="16"/>
      <c r="M42" s="16"/>
      <c r="N42" s="16"/>
      <c r="O42" s="46"/>
      <c r="P42" s="64"/>
      <c r="Q42" s="309"/>
      <c r="R42" s="312"/>
      <c r="S42" s="312"/>
      <c r="U42" s="3"/>
      <c r="V42" s="3"/>
    </row>
    <row r="43" spans="1:22" ht="14.65" thickBot="1">
      <c r="A43" s="172">
        <v>4</v>
      </c>
      <c r="B43" s="83" t="s">
        <v>160</v>
      </c>
      <c r="C43" s="39" t="s">
        <v>44</v>
      </c>
      <c r="D43" s="29"/>
      <c r="E43" s="16"/>
      <c r="F43" s="16"/>
      <c r="G43" s="268"/>
      <c r="H43" s="269"/>
      <c r="I43" s="83" t="s">
        <v>160</v>
      </c>
      <c r="J43" s="39" t="s">
        <v>170</v>
      </c>
      <c r="K43" s="16"/>
      <c r="L43" s="16"/>
      <c r="M43" s="16"/>
      <c r="N43" s="16"/>
      <c r="O43" s="46"/>
      <c r="Q43" s="309"/>
      <c r="R43" s="310">
        <f>L44*D16*30*$S$21</f>
        <v>0</v>
      </c>
      <c r="S43" s="310">
        <f>L44*E16*30*$S$21</f>
        <v>0</v>
      </c>
      <c r="U43" s="3"/>
      <c r="V43" s="53"/>
    </row>
    <row r="44" spans="1:22" ht="14.65" thickBot="1">
      <c r="A44" s="172">
        <v>4</v>
      </c>
      <c r="B44" s="83" t="s">
        <v>160</v>
      </c>
      <c r="C44" s="15" t="s">
        <v>45</v>
      </c>
      <c r="D44" s="30">
        <v>0.09</v>
      </c>
      <c r="E44" s="30">
        <v>0.09</v>
      </c>
      <c r="F44" s="31"/>
      <c r="G44" s="41">
        <f t="shared" ref="G44:G50" si="13">F44*D44</f>
        <v>0</v>
      </c>
      <c r="H44" s="267">
        <f t="shared" ref="H44:H50" si="14">E44*F44</f>
        <v>0</v>
      </c>
      <c r="J44" s="15" t="s">
        <v>32</v>
      </c>
      <c r="K44" s="42">
        <v>0.4</v>
      </c>
      <c r="L44" s="43"/>
      <c r="M44" s="42">
        <f>L44*(K44*IF($K$14="Aggressive",'Hidden Background Parameters'!C4,IF($K$14="Conservative",'Hidden Background Parameters'!C2,IF($K$14="normal",'Hidden Background Parameters'!C3,10000000000))))</f>
        <v>0</v>
      </c>
      <c r="N44" s="16"/>
      <c r="O44" s="45"/>
      <c r="Q44" s="309"/>
      <c r="R44" s="312"/>
      <c r="S44" s="312"/>
      <c r="U44" s="3"/>
      <c r="V44" s="3"/>
    </row>
    <row r="45" spans="1:22" ht="14.65" thickBot="1">
      <c r="A45" s="172">
        <v>4</v>
      </c>
      <c r="B45" s="83" t="s">
        <v>160</v>
      </c>
      <c r="C45" s="15" t="s">
        <v>208</v>
      </c>
      <c r="D45" s="30">
        <v>0.09</v>
      </c>
      <c r="E45" s="30">
        <v>0.09</v>
      </c>
      <c r="F45" s="31"/>
      <c r="G45" s="41">
        <f t="shared" si="13"/>
        <v>0</v>
      </c>
      <c r="H45" s="267">
        <f t="shared" si="14"/>
        <v>0</v>
      </c>
      <c r="J45" s="15" t="s">
        <v>403</v>
      </c>
      <c r="K45" s="42">
        <v>0.55000000000000004</v>
      </c>
      <c r="L45" s="43"/>
      <c r="M45" s="42">
        <f>L45*(K45*IF($K$14="Aggressive",'Hidden Background Parameters'!C5,IF($K$14="Conservative",'Hidden Background Parameters'!C3,IF($K$14="normal",'Hidden Background Parameters'!C4,10000000000))))</f>
        <v>0</v>
      </c>
      <c r="N45" s="16"/>
      <c r="O45" s="45"/>
      <c r="Q45" s="309"/>
      <c r="R45" s="312"/>
      <c r="S45" s="312"/>
      <c r="U45" s="3"/>
      <c r="V45" s="3"/>
    </row>
    <row r="46" spans="1:22" ht="14.65" thickBot="1">
      <c r="A46" s="172">
        <v>3.75</v>
      </c>
      <c r="B46" s="83" t="s">
        <v>190</v>
      </c>
      <c r="C46" s="15" t="s">
        <v>46</v>
      </c>
      <c r="D46" s="29">
        <v>0.14000000000000001</v>
      </c>
      <c r="E46" s="30">
        <v>0.18</v>
      </c>
      <c r="F46" s="33"/>
      <c r="G46" s="41">
        <f>F46*D46</f>
        <v>0</v>
      </c>
      <c r="H46" s="267">
        <f>E46*F46</f>
        <v>0</v>
      </c>
      <c r="J46" s="68" t="s">
        <v>409</v>
      </c>
      <c r="K46" s="69"/>
      <c r="L46" s="70"/>
      <c r="M46" s="71"/>
      <c r="N46" s="70"/>
      <c r="O46" s="72"/>
      <c r="Q46" s="309" t="s">
        <v>382</v>
      </c>
      <c r="R46" s="313">
        <f>SUM(R25:R44)</f>
        <v>0</v>
      </c>
      <c r="S46" s="313">
        <f>SUM(S25:S44)</f>
        <v>0</v>
      </c>
    </row>
    <row r="47" spans="1:22" ht="15" thickTop="1" thickBot="1">
      <c r="A47" s="172">
        <v>4</v>
      </c>
      <c r="B47" s="83" t="s">
        <v>160</v>
      </c>
      <c r="C47" s="15" t="s">
        <v>48</v>
      </c>
      <c r="D47" s="29">
        <v>0.12</v>
      </c>
      <c r="E47" s="30">
        <v>0.15</v>
      </c>
      <c r="F47" s="31"/>
      <c r="G47" s="41">
        <f>F47*D47</f>
        <v>0</v>
      </c>
      <c r="H47" s="267">
        <f>E47*F47</f>
        <v>0</v>
      </c>
      <c r="J47" s="277" t="s">
        <v>410</v>
      </c>
      <c r="K47" s="57"/>
      <c r="L47" s="57"/>
      <c r="M47" s="57"/>
      <c r="N47" s="57"/>
      <c r="O47" s="58"/>
      <c r="Q47" s="309" t="s">
        <v>383</v>
      </c>
      <c r="R47" s="314">
        <f>G58</f>
        <v>0</v>
      </c>
      <c r="S47" s="314">
        <f>H58</f>
        <v>0</v>
      </c>
    </row>
    <row r="48" spans="1:22" ht="14.65" thickBot="1">
      <c r="B48" s="4"/>
      <c r="C48" s="15" t="s">
        <v>50</v>
      </c>
      <c r="D48" s="30">
        <v>0.01</v>
      </c>
      <c r="E48" s="30">
        <v>0.01</v>
      </c>
      <c r="F48" s="33"/>
      <c r="G48" s="41">
        <f>F48*D48</f>
        <v>0</v>
      </c>
      <c r="H48" s="267">
        <f>E48*F48</f>
        <v>0</v>
      </c>
      <c r="Q48" s="309"/>
      <c r="R48" s="312"/>
      <c r="S48" s="312"/>
    </row>
    <row r="49" spans="1:20" ht="15.75" customHeight="1" thickBot="1">
      <c r="A49" s="172">
        <v>3.75</v>
      </c>
      <c r="B49" s="83" t="s">
        <v>190</v>
      </c>
      <c r="C49" s="15" t="s">
        <v>52</v>
      </c>
      <c r="D49" s="29">
        <v>0.1</v>
      </c>
      <c r="E49" s="30">
        <v>0.12</v>
      </c>
      <c r="F49" s="31"/>
      <c r="G49" s="41">
        <f>F49*D49</f>
        <v>0</v>
      </c>
      <c r="H49" s="267">
        <f>E49*F49</f>
        <v>0</v>
      </c>
      <c r="J49" s="11" t="s">
        <v>395</v>
      </c>
      <c r="K49" s="12"/>
      <c r="L49" s="14"/>
      <c r="M49" s="12"/>
      <c r="N49" s="12"/>
      <c r="O49" s="13"/>
      <c r="Q49" s="309"/>
      <c r="R49" s="312"/>
      <c r="S49" s="312"/>
    </row>
    <row r="50" spans="1:20" ht="14.65" thickBot="1">
      <c r="A50" s="172">
        <v>2.5</v>
      </c>
      <c r="B50" s="83" t="s">
        <v>155</v>
      </c>
      <c r="C50" s="52" t="s">
        <v>202</v>
      </c>
      <c r="D50" s="29"/>
      <c r="E50" s="16"/>
      <c r="F50" s="16"/>
      <c r="G50" s="268"/>
      <c r="H50" s="269"/>
      <c r="J50" s="286"/>
      <c r="K50" s="48"/>
      <c r="L50" s="48"/>
      <c r="M50" s="48"/>
      <c r="N50" s="48"/>
      <c r="O50" s="56"/>
      <c r="Q50" s="309"/>
      <c r="R50" s="312"/>
      <c r="S50" s="312"/>
      <c r="T50" s="273"/>
    </row>
    <row r="51" spans="1:20" ht="16.149999999999999" thickBot="1">
      <c r="A51" s="172">
        <v>3.5</v>
      </c>
      <c r="B51" s="83" t="s">
        <v>158</v>
      </c>
      <c r="C51" s="15" t="s">
        <v>54</v>
      </c>
      <c r="D51" s="30">
        <v>0.01</v>
      </c>
      <c r="E51" s="30">
        <v>0.01</v>
      </c>
      <c r="F51" s="31"/>
      <c r="G51" s="41">
        <f>F51*D51</f>
        <v>0</v>
      </c>
      <c r="H51" s="267">
        <f>E51*F51</f>
        <v>0</v>
      </c>
      <c r="J51" s="65">
        <f>SUM(L26:L31)</f>
        <v>0</v>
      </c>
      <c r="K51" s="16"/>
      <c r="L51" s="278" t="s">
        <v>387</v>
      </c>
      <c r="M51" s="287">
        <f>SUM(M25:M45)</f>
        <v>0</v>
      </c>
      <c r="N51" s="48"/>
      <c r="O51" s="17"/>
      <c r="Q51" s="309"/>
      <c r="R51" s="312"/>
      <c r="S51" s="312"/>
    </row>
    <row r="52" spans="1:20" ht="16.149999999999999" thickBot="1">
      <c r="A52" s="172">
        <v>3.5</v>
      </c>
      <c r="B52" s="83" t="s">
        <v>158</v>
      </c>
      <c r="C52" s="15" t="s">
        <v>58</v>
      </c>
      <c r="D52" s="29">
        <v>2.5000000000000001E-2</v>
      </c>
      <c r="E52" s="30">
        <v>0.05</v>
      </c>
      <c r="F52" s="31"/>
      <c r="G52" s="41">
        <f>F52*D52</f>
        <v>0</v>
      </c>
      <c r="H52" s="267">
        <f>E52*F52</f>
        <v>0</v>
      </c>
      <c r="J52" s="15"/>
      <c r="K52" s="16"/>
      <c r="L52" s="278" t="s">
        <v>388</v>
      </c>
      <c r="M52" s="287">
        <f>H57</f>
        <v>0</v>
      </c>
      <c r="N52" s="48"/>
      <c r="O52" s="17"/>
      <c r="Q52" s="309"/>
      <c r="R52" s="312"/>
      <c r="S52" s="312"/>
    </row>
    <row r="53" spans="1:20" ht="16.149999999999999" thickBot="1">
      <c r="A53" s="172">
        <v>3.5</v>
      </c>
      <c r="B53" s="83" t="s">
        <v>158</v>
      </c>
      <c r="C53" s="15" t="s">
        <v>59</v>
      </c>
      <c r="D53" s="29">
        <v>2.5999999999999999E-2</v>
      </c>
      <c r="E53" s="30">
        <v>0.05</v>
      </c>
      <c r="F53" s="40"/>
      <c r="G53" s="41">
        <f>F53*D53</f>
        <v>0</v>
      </c>
      <c r="H53" s="267">
        <f>E53*F53</f>
        <v>0</v>
      </c>
      <c r="J53" s="15"/>
      <c r="K53" s="16"/>
      <c r="L53" s="278" t="str">
        <f>IF($M$53&gt;0,"Power Available", IF($M$53=0,"Walking the Line","Power Deficit"))</f>
        <v>Power Available</v>
      </c>
      <c r="M53" s="279" t="str">
        <f>IF($M$51=0,"Add Power Supplies",$M$51-$M$52)</f>
        <v>Add Power Supplies</v>
      </c>
      <c r="N53" s="280"/>
      <c r="O53" s="281" t="str">
        <f>IF($F$57=0,"Add User Stations",IF($M$53&lt;0,"Insufficient Power Available"," "))</f>
        <v>Add User Stations</v>
      </c>
      <c r="Q53" s="309"/>
      <c r="R53" s="312"/>
      <c r="S53" s="312"/>
    </row>
    <row r="54" spans="1:20" ht="14.65" thickBot="1">
      <c r="B54" s="4"/>
      <c r="C54" s="15" t="s">
        <v>173</v>
      </c>
      <c r="D54" s="29">
        <v>5.8000000000000003E-2</v>
      </c>
      <c r="E54" s="30">
        <v>7.4999999999999997E-2</v>
      </c>
      <c r="F54" s="33"/>
      <c r="G54" s="41">
        <f>F54*D54</f>
        <v>0</v>
      </c>
      <c r="H54" s="267">
        <f>E54*F54</f>
        <v>0</v>
      </c>
      <c r="J54" s="47"/>
      <c r="K54" s="48"/>
      <c r="L54" s="48"/>
      <c r="M54" s="48"/>
      <c r="N54" s="48"/>
      <c r="O54" s="56"/>
      <c r="Q54" s="309"/>
      <c r="R54" s="312"/>
      <c r="S54" s="312"/>
    </row>
    <row r="55" spans="1:20" ht="14.65" thickBot="1">
      <c r="B55" s="4"/>
      <c r="C55" s="15" t="s">
        <v>174</v>
      </c>
      <c r="D55" s="29">
        <v>5.8000000000000003E-2</v>
      </c>
      <c r="E55" s="30">
        <v>6.8000000000000005E-2</v>
      </c>
      <c r="F55" s="31"/>
      <c r="G55" s="41">
        <f>F55*D55</f>
        <v>0</v>
      </c>
      <c r="H55" s="267">
        <f>E55*F55</f>
        <v>0</v>
      </c>
      <c r="J55" s="47"/>
      <c r="K55" s="48"/>
      <c r="L55" s="48"/>
      <c r="M55" s="48"/>
      <c r="N55" s="48"/>
      <c r="O55" s="56"/>
      <c r="Q55" s="309"/>
      <c r="R55" s="312"/>
      <c r="S55" s="312"/>
    </row>
    <row r="56" spans="1:20">
      <c r="B56" s="4"/>
      <c r="C56" s="15"/>
      <c r="D56" s="16"/>
      <c r="E56" s="16"/>
      <c r="F56" s="16"/>
      <c r="G56" s="268"/>
      <c r="H56" s="269"/>
      <c r="J56" s="47"/>
      <c r="K56" s="48"/>
      <c r="L56" s="48"/>
      <c r="M56" s="48"/>
      <c r="N56" s="48"/>
      <c r="O56" s="56"/>
      <c r="Q56" s="309"/>
      <c r="R56" s="312"/>
      <c r="S56" s="312"/>
    </row>
    <row r="57" spans="1:20" ht="14.65" thickBot="1">
      <c r="B57" s="4"/>
      <c r="C57" s="15"/>
      <c r="D57" s="16"/>
      <c r="E57" s="59" t="s">
        <v>376</v>
      </c>
      <c r="F57" s="22">
        <f>SUM(F15:F55)</f>
        <v>0</v>
      </c>
      <c r="G57" s="266">
        <f>SUM(G15:G55)</f>
        <v>0</v>
      </c>
      <c r="H57" s="270">
        <f>SUM(H15:H55)</f>
        <v>0</v>
      </c>
      <c r="J57" s="47"/>
      <c r="K57" s="48"/>
      <c r="L57" s="48"/>
      <c r="M57" s="48"/>
      <c r="N57" s="48"/>
      <c r="O57" s="56"/>
      <c r="Q57" s="309"/>
      <c r="R57" s="312"/>
      <c r="S57" s="312"/>
    </row>
    <row r="58" spans="1:20" ht="15" thickTop="1" thickBot="1">
      <c r="B58" s="4"/>
      <c r="C58" s="15"/>
      <c r="D58" s="16"/>
      <c r="E58" s="59" t="s">
        <v>377</v>
      </c>
      <c r="F58" s="22"/>
      <c r="G58" s="271">
        <f>G57*30</f>
        <v>0</v>
      </c>
      <c r="H58" s="272">
        <f>H57*30</f>
        <v>0</v>
      </c>
      <c r="J58" s="47"/>
      <c r="K58" s="48"/>
      <c r="L58" s="48"/>
      <c r="M58" s="48"/>
      <c r="N58" s="48"/>
      <c r="O58" s="56"/>
      <c r="Q58" s="309"/>
      <c r="R58" s="312"/>
      <c r="S58" s="312"/>
    </row>
    <row r="59" spans="1:20" ht="14.65" thickTop="1">
      <c r="B59" s="4"/>
      <c r="C59" s="15"/>
      <c r="D59" s="16"/>
      <c r="E59" s="16"/>
      <c r="F59" s="16"/>
      <c r="G59" s="16"/>
      <c r="H59" s="17"/>
      <c r="J59" s="47"/>
      <c r="K59" s="48"/>
      <c r="L59" s="48"/>
      <c r="M59" s="48"/>
      <c r="N59" s="48"/>
      <c r="O59" s="56"/>
      <c r="Q59" s="309"/>
      <c r="R59" s="312"/>
      <c r="S59" s="312"/>
    </row>
    <row r="60" spans="1:20" ht="15.75" customHeight="1">
      <c r="B60" s="4"/>
      <c r="C60" s="34" t="str">
        <f>IF(C59=FALSE,"Please read these notes:","")</f>
        <v>Please read these notes:</v>
      </c>
      <c r="D60" s="16"/>
      <c r="E60" s="16"/>
      <c r="F60" s="16"/>
      <c r="G60" s="16"/>
      <c r="H60" s="17"/>
      <c r="J60" s="47"/>
      <c r="K60" s="48"/>
      <c r="L60" s="48"/>
      <c r="M60" s="48"/>
      <c r="N60" s="48"/>
      <c r="O60" s="56"/>
      <c r="Q60" s="309"/>
      <c r="R60" s="312"/>
      <c r="S60" s="312"/>
    </row>
    <row r="61" spans="1:20">
      <c r="A61" s="4"/>
      <c r="B61" s="4"/>
      <c r="C61" s="66" t="str">
        <f>IF(AND($H$57&gt;=2,$H$57&lt;3.6),"This system will require more than two power supplies.",IF($H$57&gt;3.6,"The system requires multiple power supplies isolated with MT-701 to separate subsystems.",""))</f>
        <v/>
      </c>
      <c r="D61" s="16"/>
      <c r="E61" s="16"/>
      <c r="F61" s="16"/>
      <c r="G61" s="16"/>
      <c r="H61" s="17"/>
      <c r="J61" s="47"/>
      <c r="K61" s="48"/>
      <c r="L61" s="48"/>
      <c r="M61" s="48"/>
      <c r="N61" s="48"/>
      <c r="O61" s="56"/>
      <c r="Q61" s="309"/>
      <c r="R61" s="312"/>
      <c r="S61" s="312"/>
    </row>
    <row r="62" spans="1:20" ht="14.65" thickBot="1">
      <c r="A62" s="4"/>
      <c r="B62" s="4"/>
      <c r="C62" s="277"/>
      <c r="D62" s="57"/>
      <c r="E62" s="57"/>
      <c r="F62" s="57"/>
      <c r="G62" s="57"/>
      <c r="H62" s="58"/>
      <c r="J62" s="47"/>
      <c r="K62" s="48"/>
      <c r="L62" s="48"/>
      <c r="M62" s="48"/>
      <c r="N62" s="48"/>
      <c r="O62" s="56"/>
      <c r="Q62" s="309"/>
      <c r="R62" s="312"/>
      <c r="S62" s="312"/>
    </row>
    <row r="63" spans="1:20" ht="16.5" customHeight="1">
      <c r="B63" s="4"/>
      <c r="C63" s="4"/>
      <c r="D63" s="4"/>
      <c r="E63" s="4"/>
      <c r="F63" s="4"/>
      <c r="G63" s="4"/>
      <c r="H63" s="4"/>
      <c r="J63" s="47"/>
      <c r="K63" s="48"/>
      <c r="L63" s="48"/>
      <c r="M63" s="48"/>
      <c r="N63" s="48"/>
      <c r="O63" s="56"/>
      <c r="Q63" s="309"/>
      <c r="R63" s="312"/>
      <c r="S63" s="312"/>
    </row>
    <row r="64" spans="1:20" ht="15.75" customHeight="1">
      <c r="B64" s="4"/>
      <c r="J64" s="47"/>
      <c r="K64" s="48"/>
      <c r="L64" s="48"/>
      <c r="M64" s="48"/>
      <c r="N64" s="48"/>
      <c r="O64" s="56"/>
      <c r="Q64" s="309"/>
      <c r="R64" s="312"/>
      <c r="S64" s="312"/>
    </row>
    <row r="65" spans="2:19" ht="14.65" thickBot="1">
      <c r="B65" s="4"/>
      <c r="J65" s="47"/>
      <c r="K65" s="48"/>
      <c r="L65" s="48"/>
      <c r="M65" s="48"/>
      <c r="N65" s="48"/>
      <c r="O65" s="56"/>
      <c r="Q65" s="309"/>
      <c r="R65" s="312"/>
      <c r="S65" s="312"/>
    </row>
    <row r="66" spans="2:19" ht="18">
      <c r="B66" s="4"/>
      <c r="C66" s="11" t="s">
        <v>370</v>
      </c>
      <c r="D66" s="12"/>
      <c r="E66" s="14"/>
      <c r="F66" s="12"/>
      <c r="G66" s="12"/>
      <c r="H66" s="13"/>
      <c r="J66" s="47"/>
      <c r="K66" s="48"/>
      <c r="L66" s="48"/>
      <c r="M66" s="48"/>
      <c r="N66" s="48"/>
      <c r="O66" s="56"/>
      <c r="Q66" s="309"/>
      <c r="R66" s="312"/>
      <c r="S66" s="312"/>
    </row>
    <row r="67" spans="2:19">
      <c r="B67" s="4"/>
      <c r="C67" s="15" t="s">
        <v>62</v>
      </c>
      <c r="D67" s="16"/>
      <c r="E67" s="18"/>
      <c r="F67" s="16"/>
      <c r="G67" s="16"/>
      <c r="H67" s="17"/>
      <c r="J67" s="47"/>
      <c r="K67" s="48"/>
      <c r="L67" s="48"/>
      <c r="M67" s="48"/>
      <c r="N67" s="48"/>
      <c r="O67" s="56"/>
      <c r="Q67" s="309"/>
      <c r="R67" s="312"/>
      <c r="S67" s="312"/>
    </row>
    <row r="68" spans="2:19" ht="15.75">
      <c r="B68" s="4"/>
      <c r="C68" s="15" t="s">
        <v>63</v>
      </c>
      <c r="D68" s="16"/>
      <c r="E68" s="18"/>
      <c r="F68" s="16"/>
      <c r="G68" s="16"/>
      <c r="H68" s="17"/>
      <c r="J68" s="34" t="s">
        <v>19</v>
      </c>
      <c r="K68" s="48"/>
      <c r="L68" s="48"/>
      <c r="M68" s="48"/>
      <c r="N68" s="48"/>
      <c r="O68" s="56"/>
      <c r="Q68" s="309"/>
      <c r="R68" s="312"/>
      <c r="S68" s="312"/>
    </row>
    <row r="69" spans="2:19">
      <c r="B69" s="4"/>
      <c r="C69" s="15" t="s">
        <v>64</v>
      </c>
      <c r="D69" s="16"/>
      <c r="E69" s="18"/>
      <c r="F69" s="16"/>
      <c r="G69" s="16"/>
      <c r="H69" s="17"/>
      <c r="J69" s="66" t="str">
        <f>IF($L$25&gt;0,IF(H57&gt;'Hidden Background Parameters'!$B$7,"Check system layout if number of user station power draw per channel exceeds 1.2A",""),"")</f>
        <v/>
      </c>
      <c r="K69" s="16"/>
      <c r="L69" s="18"/>
      <c r="M69" s="16"/>
      <c r="N69" s="16"/>
      <c r="O69" s="17"/>
      <c r="Q69" s="309"/>
      <c r="R69" s="312"/>
      <c r="S69" s="312"/>
    </row>
    <row r="70" spans="2:19">
      <c r="B70" s="4"/>
      <c r="C70" s="15" t="s">
        <v>65</v>
      </c>
      <c r="D70" s="16"/>
      <c r="E70" s="18"/>
      <c r="F70" s="16"/>
      <c r="G70" s="16"/>
      <c r="H70" s="17"/>
      <c r="J70" s="66" t="str">
        <f>IF(M53&lt;0,"Insufficient power. Increase power supply size or consider sub-systems isolated with MT-701","")</f>
        <v/>
      </c>
      <c r="K70" s="48"/>
      <c r="L70" s="48"/>
      <c r="M70" s="48"/>
      <c r="N70" s="48"/>
      <c r="O70" s="56"/>
      <c r="Q70" s="309"/>
      <c r="R70" s="312"/>
      <c r="S70" s="312"/>
    </row>
    <row r="71" spans="2:19">
      <c r="C71" s="15" t="s">
        <v>66</v>
      </c>
      <c r="D71" s="16"/>
      <c r="E71" s="18"/>
      <c r="F71" s="16"/>
      <c r="G71" s="16"/>
      <c r="H71" s="17"/>
      <c r="J71" s="66" t="str">
        <f>IF(AND($J$51&gt;1,$J$51&lt;=2),"Paralleled PSU should always share an AC ground to avoid hum.",IF($J$51&gt;2,"It is highly recommeneded splitting the system into isolated branches with MT-701s.",""))</f>
        <v/>
      </c>
      <c r="K71" s="48"/>
      <c r="L71" s="48"/>
      <c r="M71" s="48"/>
      <c r="N71" s="48"/>
      <c r="O71" s="56"/>
      <c r="Q71" s="309"/>
      <c r="R71" s="312"/>
      <c r="S71" s="312"/>
    </row>
    <row r="72" spans="2:19" ht="14.65" thickBot="1">
      <c r="C72" s="35" t="s">
        <v>67</v>
      </c>
      <c r="D72" s="36"/>
      <c r="E72" s="60"/>
      <c r="F72" s="36"/>
      <c r="G72" s="36"/>
      <c r="H72" s="37"/>
      <c r="J72" s="322" t="str">
        <f>IF($L$44&gt;=1,IF($J$47&gt;1,"Do not combine PK/TWC with other power supplies. PK/TWC is a standalone PSU only.",""),"")</f>
        <v/>
      </c>
      <c r="K72" s="57"/>
      <c r="L72" s="57"/>
      <c r="M72" s="57"/>
      <c r="N72" s="57"/>
      <c r="O72" s="58"/>
      <c r="Q72" s="309"/>
      <c r="R72" s="312"/>
      <c r="S72" s="312"/>
    </row>
    <row r="73" spans="2:19" ht="14.65" thickBot="1">
      <c r="Q73" s="309"/>
      <c r="R73" s="312"/>
      <c r="S73" s="312"/>
    </row>
    <row r="74" spans="2:19" ht="18">
      <c r="C74" s="327" t="s">
        <v>396</v>
      </c>
      <c r="D74" s="327"/>
      <c r="E74" s="327"/>
      <c r="F74" s="327"/>
      <c r="G74" s="327"/>
      <c r="H74" s="327"/>
      <c r="J74" s="11" t="s">
        <v>397</v>
      </c>
      <c r="K74" s="275"/>
      <c r="L74" s="275"/>
      <c r="M74" s="275"/>
      <c r="N74" s="275"/>
      <c r="O74" s="276"/>
      <c r="Q74" s="309"/>
      <c r="R74" s="312"/>
      <c r="S74" s="312"/>
    </row>
    <row r="75" spans="2:19">
      <c r="C75" s="327"/>
      <c r="D75" s="327"/>
      <c r="E75" s="327"/>
      <c r="F75" s="327"/>
      <c r="G75" s="327"/>
      <c r="H75" s="327"/>
      <c r="J75" s="15" t="s">
        <v>416</v>
      </c>
      <c r="K75" s="48"/>
      <c r="L75" s="48"/>
      <c r="M75" s="48"/>
      <c r="N75" s="48"/>
      <c r="O75" s="56"/>
      <c r="Q75" s="309"/>
      <c r="R75" s="312"/>
      <c r="S75" s="312"/>
    </row>
    <row r="76" spans="2:19">
      <c r="C76" s="327"/>
      <c r="D76" s="327"/>
      <c r="E76" s="327"/>
      <c r="F76" s="327"/>
      <c r="G76" s="327"/>
      <c r="H76" s="327"/>
      <c r="J76" s="47" t="s">
        <v>415</v>
      </c>
      <c r="K76" s="48"/>
      <c r="L76" s="278"/>
      <c r="M76" s="283" t="s">
        <v>389</v>
      </c>
      <c r="N76" s="283" t="s">
        <v>103</v>
      </c>
      <c r="O76" s="56"/>
      <c r="Q76" s="309"/>
      <c r="R76" s="312"/>
      <c r="S76" s="312"/>
    </row>
    <row r="77" spans="2:19">
      <c r="C77" s="327"/>
      <c r="D77" s="327"/>
      <c r="E77" s="327"/>
      <c r="F77" s="327"/>
      <c r="G77" s="327"/>
      <c r="H77" s="327"/>
      <c r="J77" s="47"/>
      <c r="K77" s="48"/>
      <c r="L77" s="278" t="s">
        <v>386</v>
      </c>
      <c r="M77" s="284" t="str">
        <f>IF(OR($R$46&gt;100000,$R$46=0),"N/A",(R47+R46))</f>
        <v>N/A</v>
      </c>
      <c r="N77" s="284" t="str">
        <f>IF(OR($S$46&gt;100000,$S$46=0),"N/A",(S47+S46))</f>
        <v>N/A</v>
      </c>
      <c r="O77" s="56"/>
      <c r="Q77" s="309"/>
      <c r="R77" s="312"/>
      <c r="S77" s="312"/>
    </row>
    <row r="78" spans="2:19">
      <c r="C78" s="327"/>
      <c r="D78" s="327"/>
      <c r="E78" s="327"/>
      <c r="F78" s="327"/>
      <c r="G78" s="327"/>
      <c r="H78" s="327"/>
      <c r="J78" s="47"/>
      <c r="K78" s="48"/>
      <c r="L78" s="278" t="s">
        <v>384</v>
      </c>
      <c r="M78" s="284" t="str">
        <f>IF($M$77="N/A","N/A",(M77* 3.41214))</f>
        <v>N/A</v>
      </c>
      <c r="N78" s="284" t="str">
        <f>IF($M$77="N/A","N/A",(N77*3.41214))</f>
        <v>N/A</v>
      </c>
      <c r="O78" s="56"/>
      <c r="Q78" s="309"/>
      <c r="R78" s="312"/>
      <c r="S78" s="312"/>
    </row>
    <row r="79" spans="2:19">
      <c r="C79" s="327"/>
      <c r="D79" s="327"/>
      <c r="E79" s="327"/>
      <c r="F79" s="327"/>
      <c r="G79" s="327"/>
      <c r="H79" s="327"/>
      <c r="J79" s="47"/>
      <c r="K79" s="48"/>
      <c r="L79" s="278"/>
      <c r="M79" s="282"/>
      <c r="N79" s="282"/>
      <c r="O79" s="56"/>
      <c r="Q79" s="309"/>
      <c r="R79" s="312"/>
      <c r="S79" s="312"/>
    </row>
    <row r="80" spans="2:19">
      <c r="C80" s="327"/>
      <c r="D80" s="327"/>
      <c r="E80" s="327"/>
      <c r="F80" s="327"/>
      <c r="G80" s="327"/>
      <c r="H80" s="327"/>
      <c r="J80" s="47"/>
      <c r="K80" s="48"/>
      <c r="L80" s="278" t="s">
        <v>390</v>
      </c>
      <c r="M80" s="285" t="str">
        <f>IF($M$77="N/A","N/A",(M77/100))</f>
        <v>N/A</v>
      </c>
      <c r="N80" s="285" t="str">
        <f>IF($M$77="N/A","N/A",(N77/100))</f>
        <v>N/A</v>
      </c>
      <c r="O80" s="56"/>
      <c r="Q80" s="309"/>
      <c r="R80" s="312"/>
      <c r="S80" s="312"/>
    </row>
    <row r="81" spans="3:19">
      <c r="C81" s="327"/>
      <c r="D81" s="327"/>
      <c r="E81" s="327"/>
      <c r="F81" s="327"/>
      <c r="G81" s="327"/>
      <c r="H81" s="327"/>
      <c r="J81" s="47"/>
      <c r="K81" s="48"/>
      <c r="L81" s="278" t="s">
        <v>392</v>
      </c>
      <c r="M81" s="285" t="str">
        <f>IF($M$77="N/A","N/A",(M77/120))</f>
        <v>N/A</v>
      </c>
      <c r="N81" s="285" t="str">
        <f>IF($M$77="N/A","N/A",(N77/120))</f>
        <v>N/A</v>
      </c>
      <c r="O81" s="56"/>
      <c r="Q81" s="309"/>
      <c r="R81" s="312"/>
      <c r="S81" s="312"/>
    </row>
    <row r="82" spans="3:19">
      <c r="C82" s="327"/>
      <c r="D82" s="327"/>
      <c r="E82" s="327"/>
      <c r="F82" s="327"/>
      <c r="G82" s="327"/>
      <c r="H82" s="327"/>
      <c r="J82" s="47"/>
      <c r="K82" s="48"/>
      <c r="L82" s="278" t="s">
        <v>391</v>
      </c>
      <c r="M82" s="285" t="str">
        <f>IF($M$77="N/A","N/A",(M77/230))</f>
        <v>N/A</v>
      </c>
      <c r="N82" s="285" t="str">
        <f>IF($M$77="N/A","N/A",(N77/230))</f>
        <v>N/A</v>
      </c>
      <c r="O82" s="56"/>
      <c r="Q82" s="309"/>
      <c r="R82" s="312"/>
      <c r="S82" s="312"/>
    </row>
    <row r="83" spans="3:19" ht="14.65" thickBot="1">
      <c r="C83" s="327"/>
      <c r="D83" s="327"/>
      <c r="E83" s="327"/>
      <c r="F83" s="327"/>
      <c r="G83" s="327"/>
      <c r="H83" s="327"/>
      <c r="J83" s="277"/>
      <c r="K83" s="57"/>
      <c r="L83" s="57"/>
      <c r="M83" s="57"/>
      <c r="N83" s="57"/>
      <c r="O83" s="58"/>
      <c r="Q83" s="309"/>
      <c r="R83" s="312"/>
      <c r="S83" s="312"/>
    </row>
    <row r="84" spans="3:19">
      <c r="Q84" s="309"/>
      <c r="R84" s="312"/>
      <c r="S84" s="312"/>
    </row>
    <row r="85" spans="3:19">
      <c r="Q85" s="309"/>
      <c r="R85" s="312"/>
      <c r="S85" s="312"/>
    </row>
    <row r="86" spans="3:19">
      <c r="Q86" s="309"/>
      <c r="R86" s="312"/>
      <c r="S86" s="312"/>
    </row>
    <row r="87" spans="3:19">
      <c r="Q87" s="309"/>
      <c r="R87" s="312"/>
      <c r="S87" s="312"/>
    </row>
    <row r="88" spans="3:19">
      <c r="Q88" s="309"/>
      <c r="R88" s="312"/>
      <c r="S88" s="312"/>
    </row>
    <row r="89" spans="3:19">
      <c r="Q89" s="309"/>
      <c r="R89" s="312"/>
      <c r="S89" s="312"/>
    </row>
    <row r="90" spans="3:19">
      <c r="Q90" s="309"/>
      <c r="R90" s="312"/>
      <c r="S90" s="312"/>
    </row>
    <row r="91" spans="3:19">
      <c r="Q91" s="309"/>
      <c r="R91" s="312"/>
      <c r="S91" s="312"/>
    </row>
    <row r="92" spans="3:19">
      <c r="Q92" s="309"/>
      <c r="R92" s="312"/>
      <c r="S92" s="312"/>
    </row>
    <row r="93" spans="3:19">
      <c r="Q93" s="309"/>
      <c r="R93" s="312"/>
      <c r="S93" s="312"/>
    </row>
    <row r="94" spans="3:19">
      <c r="Q94" s="309"/>
      <c r="R94" s="312"/>
      <c r="S94" s="312"/>
    </row>
    <row r="95" spans="3:19">
      <c r="Q95" s="309"/>
      <c r="R95" s="312"/>
      <c r="S95" s="312"/>
    </row>
    <row r="96" spans="3:19">
      <c r="Q96" s="309"/>
      <c r="R96" s="312"/>
      <c r="S96" s="312"/>
    </row>
    <row r="97" spans="17:19">
      <c r="Q97" s="309"/>
      <c r="R97" s="312"/>
      <c r="S97" s="312"/>
    </row>
    <row r="98" spans="17:19">
      <c r="Q98" s="309"/>
      <c r="R98" s="312"/>
      <c r="S98" s="312"/>
    </row>
    <row r="99" spans="17:19">
      <c r="Q99" s="309"/>
      <c r="R99" s="312"/>
      <c r="S99" s="312"/>
    </row>
  </sheetData>
  <sheetProtection algorithmName="SHA-512" hashValue="l6n0rJ02+ytcd9kKwtD1JN2HPcRFmWZP1oc9L+wVVIR4q0OpBauGtn4+fSFDNSX//qKMRdvSj0OeL0M9Szu7Xg==" saltValue="Q9cjfiqIR5bR6xobPTPxkw==" spinCount="100000" sheet="1" objects="1" scenarios="1" selectLockedCells="1"/>
  <mergeCells count="9">
    <mergeCell ref="F5:H5"/>
    <mergeCell ref="J1:O4"/>
    <mergeCell ref="C74:H83"/>
    <mergeCell ref="J9:L9"/>
    <mergeCell ref="J8:L8"/>
    <mergeCell ref="J7:L7"/>
    <mergeCell ref="J6:L6"/>
    <mergeCell ref="M6:N6"/>
    <mergeCell ref="M7:N7"/>
  </mergeCells>
  <conditionalFormatting sqref="M53">
    <cfRule type="cellIs" dxfId="5" priority="2" operator="lessThanOrEqual">
      <formula>0</formula>
    </cfRule>
  </conditionalFormatting>
  <conditionalFormatting sqref="O53">
    <cfRule type="containsText" dxfId="4" priority="1" operator="containsText" text="Insufficient Power Available">
      <formula>NOT(ISERROR(SEARCH("Insufficient Power Available",O53)))</formula>
    </cfRule>
  </conditionalFormatting>
  <dataValidations count="4">
    <dataValidation type="whole" allowBlank="1" showInputMessage="1" showErrorMessage="1" errorTitle="Too many user stations!" error="This field only allows entry of 0-99 units in incriments of 1" promptTitle="Enter number of user stations" sqref="F15:F24 F51:F55 F44:F49 F26:F42" xr:uid="{0861D291-2F97-44DA-8B9E-9DFAA89562E6}">
      <formula1>0</formula1>
      <formula2>99</formula2>
    </dataValidation>
    <dataValidation type="whole" allowBlank="1" showInputMessage="1" showErrorMessage="1" errorTitle="Too many power supplies" error="This field only allows entry of 0-9 units in incriments of 1" sqref="L35:L40 L26:L31" xr:uid="{97AF55DC-4909-49E8-8CFF-24DE686C973E}">
      <formula1>0</formula1>
      <formula2>9</formula2>
    </dataValidation>
    <dataValidation type="whole" allowBlank="1" showInputMessage="1" showErrorMessage="1" errorTitle="Too many power supplies" error="This field only allows entry of 0-1 units in incriments of 1" sqref="L44:L45" xr:uid="{D73DB1C6-4BAC-4635-99D6-FEB563A22BB2}">
      <formula1>0</formula1>
      <formula2>1</formula2>
    </dataValidation>
    <dataValidation type="custom" allowBlank="1" showInputMessage="1" showErrorMessage="1" sqref="M9:O9 J6:J9 M6:M7 O6:O7" xr:uid="{91862458-5869-4626-A4BE-246F80F7467D}">
      <formula1>"&lt;0&gt;0"</formula1>
    </dataValidation>
  </dataValidations>
  <hyperlinks>
    <hyperlink ref="J8" r:id="rId1" xr:uid="{0D781374-2497-42AF-BC38-3DC60CCD5509}"/>
    <hyperlink ref="J9" r:id="rId2" xr:uid="{1966C433-B536-4A3B-B5F0-DDB1CDC5F96C}"/>
    <hyperlink ref="M6" r:id="rId3" xr:uid="{D7093156-2A95-4095-9E0E-CC3F29EFF690}"/>
    <hyperlink ref="O6" r:id="rId4" display="E-Mail Prefrences" xr:uid="{9545A13E-A5F1-421E-8E64-B673B6B4C526}"/>
    <hyperlink ref="J6" location="'Instructions - Background'!A1" display="Instructions - Partyline Power Estimator" xr:uid="{A6EE5552-99FD-4812-9E83-CFE28A007371}"/>
    <hyperlink ref="M7" r:id="rId5" xr:uid="{764A0B79-7BC8-4DC9-BF37-789C8E3BAAFE}"/>
  </hyperlinks>
  <printOptions horizontalCentered="1" verticalCentered="1"/>
  <pageMargins left="0.25" right="0.25" top="0.25" bottom="0.25" header="0" footer="0"/>
  <pageSetup scale="58" orientation="portrait" r:id="rId6"/>
  <rowBreaks count="2" manualBreakCount="2">
    <brk id="55" max="16383" man="1"/>
    <brk id="68" max="16383" man="1"/>
  </rowBreaks>
  <drawing r:id="rId7"/>
  <extLst>
    <ext xmlns:x14="http://schemas.microsoft.com/office/spreadsheetml/2009/9/main" uri="{CCE6A557-97BC-4b89-ADB6-D9C93CAAB3DF}">
      <x14:dataValidations xmlns:xm="http://schemas.microsoft.com/office/excel/2006/main" count="4">
        <x14:dataValidation type="list" allowBlank="1" showInputMessage="1" showErrorMessage="1" errorTitle="Select from dropdown" error="This is not a text entry field. Select an option from dropdown." xr:uid="{6CFEAAB5-1716-4510-8006-C917D1940EBF}">
          <x14:formula1>
            <xm:f>'Hidden Background Parameters'!$A$2:$A$4</xm:f>
          </x14:formula1>
          <xm:sqref>K14</xm:sqref>
        </x14:dataValidation>
        <x14:dataValidation type="list" allowBlank="1" showInputMessage="1" showErrorMessage="1" errorTitle="Select from dropdown" error="This is not a text entry field. Select an option from dropdown." xr:uid="{544806C7-17B4-4184-877F-309E28F40CE8}">
          <x14:formula1>
            <xm:f>'Hidden Background Parameters'!$A$9:$A$10</xm:f>
          </x14:formula1>
          <xm:sqref>N14</xm:sqref>
        </x14:dataValidation>
        <x14:dataValidation type="list" allowBlank="1" showInputMessage="1" showErrorMessage="1" errorTitle="Select from dropdown" error="This is not a text entry field. Select an option from dropdown." xr:uid="{22850125-2AE5-4247-8F2B-37B2B9B5660D}">
          <x14:formula1>
            <xm:f>'Hidden Background Parameters'!$A$6:$A$7</xm:f>
          </x14:formula1>
          <xm:sqref>K25</xm:sqref>
        </x14:dataValidation>
        <x14:dataValidation type="list" allowBlank="1" showInputMessage="1" showErrorMessage="1" errorTitle="Select from dropdown" error="This is not a text entry field. Select an option from dropdown." xr:uid="{AD468516-EE65-4934-9D9C-411B32D1E51A}">
          <x14:formula1>
            <xm:f>'Hidden Background Parameters'!$A$12:$A$13</xm:f>
          </x14:formula1>
          <xm:sqref>K34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C64FE-C8BC-43B9-97AB-733B18DD94D1}">
  <sheetPr>
    <tabColor theme="5" tint="0.59999389629810485"/>
    <pageSetUpPr fitToPage="1"/>
  </sheetPr>
  <dimension ref="A1:U147"/>
  <sheetViews>
    <sheetView showGridLines="0" view="pageBreakPreview" topLeftCell="B1" zoomScaleNormal="100" zoomScaleSheetLayoutView="100" workbookViewId="0">
      <selection activeCell="F5" sqref="F5:H5"/>
    </sheetView>
  </sheetViews>
  <sheetFormatPr defaultColWidth="9" defaultRowHeight="14.25"/>
  <cols>
    <col min="1" max="1" width="4" style="172" hidden="1" customWidth="1"/>
    <col min="2" max="2" width="2.86328125" style="174" customWidth="1"/>
    <col min="3" max="3" width="16" style="3" customWidth="1"/>
    <col min="4" max="5" width="14" style="3" customWidth="1"/>
    <col min="6" max="6" width="9" style="3"/>
    <col min="7" max="8" width="14" style="3" customWidth="1"/>
    <col min="9" max="9" width="3.3984375" style="4" customWidth="1"/>
    <col min="10" max="10" width="16" style="4" customWidth="1"/>
    <col min="11" max="11" width="13" style="4" customWidth="1"/>
    <col min="12" max="12" width="13" style="5" customWidth="1"/>
    <col min="13" max="13" width="10" style="4" customWidth="1"/>
    <col min="14" max="14" width="13" style="4" customWidth="1"/>
    <col min="15" max="15" width="19.73046875" style="4" customWidth="1"/>
    <col min="16" max="16" width="3.1328125" style="4" customWidth="1"/>
    <col min="17" max="17" width="15.59765625" style="274" hidden="1" customWidth="1"/>
    <col min="18" max="19" width="20.265625" style="288" hidden="1" customWidth="1"/>
    <col min="20" max="20" width="16.1328125" style="4" customWidth="1"/>
    <col min="21" max="22" width="9" style="4" customWidth="1"/>
    <col min="23" max="23" width="11.86328125" style="4" customWidth="1"/>
    <col min="24" max="24" width="13.3984375" style="4" customWidth="1"/>
    <col min="25" max="16384" width="9" style="4"/>
  </cols>
  <sheetData>
    <row r="1" spans="1:18">
      <c r="H1" s="173" t="str">
        <f>'Instructions - Background'!B25</f>
        <v>Version 1.3 - September 2022</v>
      </c>
      <c r="J1" s="326"/>
      <c r="K1" s="326"/>
      <c r="L1" s="326"/>
      <c r="M1" s="326"/>
      <c r="N1" s="326"/>
      <c r="O1" s="326"/>
    </row>
    <row r="2" spans="1:18">
      <c r="J2" s="326"/>
      <c r="K2" s="326"/>
      <c r="L2" s="326"/>
      <c r="M2" s="326"/>
      <c r="N2" s="326"/>
      <c r="O2" s="326"/>
    </row>
    <row r="3" spans="1:18" ht="30.75">
      <c r="F3" s="262"/>
      <c r="G3" s="262"/>
      <c r="H3" s="263" t="s">
        <v>375</v>
      </c>
      <c r="I3" s="6"/>
      <c r="J3" s="326"/>
      <c r="K3" s="326"/>
      <c r="L3" s="326"/>
      <c r="M3" s="326"/>
      <c r="N3" s="326"/>
      <c r="O3" s="326"/>
    </row>
    <row r="4" spans="1:18" ht="15" customHeight="1" thickBot="1">
      <c r="E4" s="262"/>
      <c r="F4" s="262"/>
      <c r="G4" s="262"/>
      <c r="H4" s="262"/>
      <c r="I4" s="6"/>
      <c r="J4" s="326"/>
      <c r="K4" s="326"/>
      <c r="L4" s="326"/>
      <c r="M4" s="326"/>
      <c r="N4" s="326"/>
      <c r="O4" s="326"/>
    </row>
    <row r="5" spans="1:18" ht="14.25" customHeight="1" thickBot="1">
      <c r="E5" s="7" t="s">
        <v>87</v>
      </c>
      <c r="F5" s="323"/>
      <c r="G5" s="324"/>
      <c r="H5" s="325"/>
      <c r="I5" s="8"/>
      <c r="J5" s="10" t="s">
        <v>1</v>
      </c>
      <c r="M5" s="10" t="s">
        <v>279</v>
      </c>
    </row>
    <row r="6" spans="1:18">
      <c r="C6" s="9" t="s">
        <v>0</v>
      </c>
      <c r="J6" s="328" t="s">
        <v>278</v>
      </c>
      <c r="K6" s="328"/>
      <c r="L6" s="328"/>
      <c r="M6" s="328" t="s">
        <v>6</v>
      </c>
      <c r="N6" s="328"/>
      <c r="O6" s="261" t="s">
        <v>267</v>
      </c>
    </row>
    <row r="7" spans="1:18">
      <c r="C7" s="3" t="s">
        <v>204</v>
      </c>
      <c r="J7" s="329" t="s">
        <v>2</v>
      </c>
      <c r="K7" s="329"/>
      <c r="L7" s="329"/>
      <c r="M7" s="328" t="s">
        <v>3</v>
      </c>
      <c r="N7" s="328"/>
      <c r="O7" s="260"/>
    </row>
    <row r="8" spans="1:18">
      <c r="C8" s="3" t="s">
        <v>266</v>
      </c>
      <c r="J8" s="328" t="s">
        <v>4</v>
      </c>
      <c r="K8" s="328"/>
      <c r="L8" s="328"/>
      <c r="M8" s="195" t="s">
        <v>280</v>
      </c>
      <c r="N8" s="196"/>
      <c r="O8" s="194" t="s">
        <v>281</v>
      </c>
    </row>
    <row r="9" spans="1:18">
      <c r="C9" s="3" t="s">
        <v>246</v>
      </c>
      <c r="J9" s="328" t="s">
        <v>5</v>
      </c>
      <c r="K9" s="328"/>
      <c r="L9" s="328"/>
      <c r="M9" s="260"/>
      <c r="N9" s="260"/>
      <c r="O9" s="260"/>
    </row>
    <row r="10" spans="1:18" ht="14.65" thickBot="1"/>
    <row r="11" spans="1:18" ht="18">
      <c r="C11" s="86" t="s">
        <v>7</v>
      </c>
      <c r="D11" s="87"/>
      <c r="E11" s="87"/>
      <c r="F11" s="87"/>
      <c r="G11" s="87"/>
      <c r="H11" s="89"/>
      <c r="J11" s="86" t="s">
        <v>8</v>
      </c>
      <c r="K11" s="87"/>
      <c r="L11" s="88"/>
      <c r="M11" s="87"/>
      <c r="N11" s="87"/>
      <c r="O11" s="89"/>
    </row>
    <row r="12" spans="1:18">
      <c r="C12" s="90" t="s">
        <v>268</v>
      </c>
      <c r="D12" s="91"/>
      <c r="E12" s="91"/>
      <c r="F12" s="91"/>
      <c r="G12" s="91"/>
      <c r="H12" s="93"/>
      <c r="J12" s="90" t="s">
        <v>269</v>
      </c>
      <c r="K12" s="91"/>
      <c r="L12" s="92"/>
      <c r="M12" s="91"/>
      <c r="N12" s="91"/>
      <c r="O12" s="93"/>
    </row>
    <row r="13" spans="1:18" ht="14.65" thickBot="1">
      <c r="C13" s="90" t="s">
        <v>9</v>
      </c>
      <c r="D13" s="91"/>
      <c r="E13" s="91"/>
      <c r="F13" s="91"/>
      <c r="G13" s="91"/>
      <c r="H13" s="93"/>
      <c r="J13" s="90"/>
      <c r="K13" s="91"/>
      <c r="L13" s="92"/>
      <c r="M13" s="91"/>
      <c r="N13" s="91"/>
      <c r="O13" s="93"/>
    </row>
    <row r="14" spans="1:18" ht="43.15" thickBot="1">
      <c r="C14" s="103" t="s">
        <v>10</v>
      </c>
      <c r="D14" s="104" t="s">
        <v>11</v>
      </c>
      <c r="E14" s="105" t="s">
        <v>12</v>
      </c>
      <c r="F14" s="106" t="s">
        <v>13</v>
      </c>
      <c r="G14" s="98" t="s">
        <v>14</v>
      </c>
      <c r="H14" s="99" t="s">
        <v>15</v>
      </c>
      <c r="J14" s="124" t="s">
        <v>16</v>
      </c>
      <c r="K14" s="26" t="s">
        <v>17</v>
      </c>
      <c r="L14" s="92"/>
      <c r="M14" s="125" t="s">
        <v>165</v>
      </c>
      <c r="N14" s="28" t="s">
        <v>17</v>
      </c>
      <c r="O14" s="93"/>
    </row>
    <row r="15" spans="1:18" ht="16.149999999999999" thickBot="1">
      <c r="A15" s="172">
        <v>4</v>
      </c>
      <c r="B15" s="174" t="s">
        <v>160</v>
      </c>
      <c r="C15" s="90" t="s">
        <v>18</v>
      </c>
      <c r="D15" s="100">
        <v>1.2E-2</v>
      </c>
      <c r="E15" s="107">
        <v>2.8000000000000001E-2</v>
      </c>
      <c r="F15" s="31"/>
      <c r="G15" s="100">
        <f>F15*D15</f>
        <v>0</v>
      </c>
      <c r="H15" s="101">
        <f>E15*F15</f>
        <v>0</v>
      </c>
      <c r="J15" s="90"/>
      <c r="K15" s="91"/>
      <c r="L15" s="92"/>
      <c r="M15" s="91"/>
      <c r="N15" s="91"/>
      <c r="O15" s="93"/>
      <c r="R15" s="315"/>
    </row>
    <row r="16" spans="1:18" ht="16.149999999999999" thickBot="1">
      <c r="A16" s="172">
        <v>4</v>
      </c>
      <c r="B16" s="174" t="s">
        <v>160</v>
      </c>
      <c r="C16" s="90" t="s">
        <v>166</v>
      </c>
      <c r="D16" s="100">
        <v>2.5000000000000001E-2</v>
      </c>
      <c r="E16" s="129">
        <v>0.04</v>
      </c>
      <c r="F16" s="33"/>
      <c r="G16" s="100">
        <f t="shared" ref="G16:G24" si="0">F16*D16</f>
        <v>0</v>
      </c>
      <c r="H16" s="305">
        <f t="shared" ref="H16:H24" si="1">E16*F16</f>
        <v>0</v>
      </c>
      <c r="J16" s="115" t="s">
        <v>19</v>
      </c>
      <c r="K16" s="91"/>
      <c r="L16" s="92"/>
      <c r="M16" s="91"/>
      <c r="N16" s="91"/>
      <c r="O16" s="93"/>
      <c r="Q16" s="318"/>
    </row>
    <row r="17" spans="1:21" ht="14.65" thickBot="1">
      <c r="A17" s="172">
        <v>4</v>
      </c>
      <c r="B17" s="174" t="s">
        <v>160</v>
      </c>
      <c r="C17" s="90" t="s">
        <v>20</v>
      </c>
      <c r="D17" s="100">
        <v>2.5000000000000001E-2</v>
      </c>
      <c r="E17" s="129">
        <v>0.04</v>
      </c>
      <c r="F17" s="31"/>
      <c r="G17" s="100">
        <f t="shared" si="0"/>
        <v>0</v>
      </c>
      <c r="H17" s="305">
        <f t="shared" si="1"/>
        <v>0</v>
      </c>
      <c r="J17" s="122" t="str">
        <f>IF($K$14="Conservative","Conservative power headroom for long cable distances or congested/busy systems.",IF($K$14="Normal","Normal power headroom is appropriate for most applications. ",IF($K$14="Aggressive","Not appropriate for loud enviorments or busy systems.","Something is not right with this Excel file, please let us know")))</f>
        <v xml:space="preserve">Normal power headroom is appropriate for most applications. </v>
      </c>
      <c r="K17" s="91"/>
      <c r="L17" s="91"/>
      <c r="M17" s="91"/>
      <c r="N17" s="91"/>
      <c r="O17" s="93"/>
    </row>
    <row r="18" spans="1:21" ht="14.65" thickBot="1">
      <c r="A18" s="172">
        <v>4</v>
      </c>
      <c r="B18" s="174" t="s">
        <v>160</v>
      </c>
      <c r="C18" s="90" t="s">
        <v>21</v>
      </c>
      <c r="D18" s="135">
        <v>0.09</v>
      </c>
      <c r="E18" s="129">
        <v>0.11</v>
      </c>
      <c r="F18" s="31"/>
      <c r="G18" s="135">
        <f t="shared" si="0"/>
        <v>0</v>
      </c>
      <c r="H18" s="305">
        <f t="shared" si="1"/>
        <v>0</v>
      </c>
      <c r="J18" s="122" t="str">
        <f>IF($N$14="Paralell PSU","Combined power budget is reduced. Use common AC ground. Consider isolation via MT-701.","")</f>
        <v/>
      </c>
      <c r="K18" s="91"/>
      <c r="L18" s="91"/>
      <c r="M18" s="91"/>
      <c r="N18" s="91"/>
      <c r="O18" s="93"/>
    </row>
    <row r="19" spans="1:21" ht="14.65" thickBot="1">
      <c r="A19" s="172">
        <v>4</v>
      </c>
      <c r="B19" s="174" t="s">
        <v>160</v>
      </c>
      <c r="C19" s="90" t="s">
        <v>22</v>
      </c>
      <c r="D19" s="100">
        <v>0.16500000000000001</v>
      </c>
      <c r="E19" s="107">
        <v>0.19500000000000001</v>
      </c>
      <c r="F19" s="31"/>
      <c r="G19" s="100">
        <f t="shared" si="0"/>
        <v>0</v>
      </c>
      <c r="H19" s="101">
        <f t="shared" si="1"/>
        <v>0</v>
      </c>
      <c r="J19" s="94"/>
      <c r="K19" s="95"/>
      <c r="L19" s="96"/>
      <c r="M19" s="95"/>
      <c r="N19" s="95"/>
      <c r="O19" s="97"/>
    </row>
    <row r="20" spans="1:21" ht="14.65" thickBot="1">
      <c r="A20" s="172">
        <v>4</v>
      </c>
      <c r="B20" s="174" t="s">
        <v>160</v>
      </c>
      <c r="C20" s="90" t="s">
        <v>23</v>
      </c>
      <c r="D20" s="135">
        <v>0.09</v>
      </c>
      <c r="E20" s="129">
        <v>0.11</v>
      </c>
      <c r="F20" s="31"/>
      <c r="G20" s="135">
        <f t="shared" si="0"/>
        <v>0</v>
      </c>
      <c r="H20" s="305">
        <f t="shared" si="1"/>
        <v>0</v>
      </c>
      <c r="L20" s="4"/>
    </row>
    <row r="21" spans="1:21" ht="18.399999999999999" thickBot="1">
      <c r="A21" s="172">
        <v>4</v>
      </c>
      <c r="B21" s="174" t="s">
        <v>160</v>
      </c>
      <c r="C21" s="90" t="s">
        <v>25</v>
      </c>
      <c r="D21" s="135">
        <v>0.09</v>
      </c>
      <c r="E21" s="129">
        <v>0.11</v>
      </c>
      <c r="F21" s="31"/>
      <c r="G21" s="135">
        <f t="shared" si="0"/>
        <v>0</v>
      </c>
      <c r="H21" s="305">
        <f t="shared" si="1"/>
        <v>0</v>
      </c>
      <c r="J21" s="86" t="s">
        <v>24</v>
      </c>
      <c r="K21" s="87"/>
      <c r="L21" s="88"/>
      <c r="M21" s="87"/>
      <c r="N21" s="87"/>
      <c r="O21" s="89"/>
    </row>
    <row r="22" spans="1:21" ht="14.65" thickBot="1">
      <c r="A22" s="172">
        <v>4</v>
      </c>
      <c r="B22" s="174" t="s">
        <v>160</v>
      </c>
      <c r="C22" s="90" t="s">
        <v>209</v>
      </c>
      <c r="D22" s="135">
        <v>0.09</v>
      </c>
      <c r="E22" s="129">
        <v>0.11</v>
      </c>
      <c r="F22" s="33"/>
      <c r="G22" s="135">
        <f t="shared" si="0"/>
        <v>0</v>
      </c>
      <c r="H22" s="305">
        <f t="shared" si="1"/>
        <v>0</v>
      </c>
      <c r="J22" s="90" t="s">
        <v>189</v>
      </c>
      <c r="K22" s="91"/>
      <c r="L22" s="91"/>
      <c r="M22" s="91"/>
      <c r="N22" s="91"/>
      <c r="O22" s="93"/>
      <c r="Q22" s="309"/>
      <c r="R22" s="309" t="s">
        <v>393</v>
      </c>
      <c r="S22" s="316">
        <v>1.5</v>
      </c>
    </row>
    <row r="23" spans="1:21" ht="14.65" thickBot="1">
      <c r="A23" s="172">
        <v>4</v>
      </c>
      <c r="B23" s="174" t="s">
        <v>160</v>
      </c>
      <c r="C23" s="90" t="s">
        <v>28</v>
      </c>
      <c r="D23" s="306">
        <v>0.05</v>
      </c>
      <c r="E23" s="129">
        <v>0.1</v>
      </c>
      <c r="F23" s="31"/>
      <c r="G23" s="135">
        <f t="shared" si="0"/>
        <v>0</v>
      </c>
      <c r="H23" s="305">
        <f t="shared" si="1"/>
        <v>0</v>
      </c>
      <c r="J23" s="90"/>
      <c r="K23" s="104" t="s">
        <v>103</v>
      </c>
      <c r="L23" s="91"/>
      <c r="M23" s="104" t="s">
        <v>27</v>
      </c>
      <c r="N23" s="91"/>
      <c r="O23" s="126"/>
      <c r="Q23" s="309"/>
      <c r="R23" s="310" t="s">
        <v>380</v>
      </c>
      <c r="S23" s="311"/>
    </row>
    <row r="24" spans="1:21" ht="14.65" thickBot="1">
      <c r="A24" s="172">
        <v>4</v>
      </c>
      <c r="B24" s="174" t="s">
        <v>160</v>
      </c>
      <c r="C24" s="90" t="s">
        <v>31</v>
      </c>
      <c r="D24" s="306">
        <v>0.05</v>
      </c>
      <c r="E24" s="129">
        <v>0.1</v>
      </c>
      <c r="F24" s="40"/>
      <c r="G24" s="135">
        <f t="shared" si="0"/>
        <v>0</v>
      </c>
      <c r="H24" s="305">
        <f t="shared" si="1"/>
        <v>0</v>
      </c>
      <c r="J24" s="109"/>
      <c r="K24" s="104" t="s">
        <v>29</v>
      </c>
      <c r="L24" s="106" t="s">
        <v>13</v>
      </c>
      <c r="M24" s="104" t="s">
        <v>30</v>
      </c>
      <c r="N24" s="114" t="s">
        <v>72</v>
      </c>
      <c r="O24" s="127"/>
      <c r="Q24" s="309" t="s">
        <v>385</v>
      </c>
      <c r="R24" s="310" t="s">
        <v>378</v>
      </c>
      <c r="S24" s="310" t="s">
        <v>379</v>
      </c>
    </row>
    <row r="25" spans="1:21" ht="14.65" thickBot="1">
      <c r="C25" s="109" t="s">
        <v>33</v>
      </c>
      <c r="D25" s="108"/>
      <c r="E25" s="91"/>
      <c r="F25" s="91"/>
      <c r="G25" s="92"/>
      <c r="H25" s="93"/>
      <c r="I25" s="83" t="s">
        <v>160</v>
      </c>
      <c r="J25" s="143" t="s">
        <v>160</v>
      </c>
      <c r="K25" s="26" t="s">
        <v>167</v>
      </c>
      <c r="L25" s="147">
        <f>SUM(L26:L31)</f>
        <v>0</v>
      </c>
      <c r="M25" s="91"/>
      <c r="N25" s="91"/>
      <c r="O25" s="128"/>
      <c r="Q25" s="309"/>
      <c r="R25" s="310"/>
      <c r="S25" s="310"/>
    </row>
    <row r="26" spans="1:21" ht="14.65" thickBot="1">
      <c r="A26" s="172">
        <v>4</v>
      </c>
      <c r="B26" s="174" t="s">
        <v>160</v>
      </c>
      <c r="C26" s="90" t="s">
        <v>34</v>
      </c>
      <c r="D26" s="135">
        <v>7.0000000000000007E-2</v>
      </c>
      <c r="E26" s="129">
        <v>0.08</v>
      </c>
      <c r="F26" s="31"/>
      <c r="G26" s="135">
        <f>F26*D26</f>
        <v>0</v>
      </c>
      <c r="H26" s="305">
        <f>E26*F26</f>
        <v>0</v>
      </c>
      <c r="I26" s="83" t="s">
        <v>160</v>
      </c>
      <c r="J26" s="90" t="s">
        <v>38</v>
      </c>
      <c r="K26" s="129">
        <f t="shared" ref="K26:K31" si="2">IF($K$25="per Channel",1.2,2)</f>
        <v>2</v>
      </c>
      <c r="L26" s="43"/>
      <c r="M26" s="129">
        <f>L26*(K26*IF($K$14="Aggressive",'Hidden Background Parameters'!$B$4,IF($K$14="Conservative",'Hidden Background Parameters'!$B$2,IF($K$14="normal",'Hidden Background Parameters'!$B$3,10000000000))))*IF($N$14="Parallel PSU",'Hidden Background Parameters'!$B$10,1)</f>
        <v>0</v>
      </c>
      <c r="N26" s="91"/>
      <c r="O26" s="128"/>
      <c r="P26" s="64"/>
      <c r="Q26" s="309">
        <f>2*30</f>
        <v>60</v>
      </c>
      <c r="R26" s="310">
        <f>L26*$D$18*30*$S$22</f>
        <v>0</v>
      </c>
      <c r="S26" s="310">
        <f>L26*$E$18*30*$S$22</f>
        <v>0</v>
      </c>
    </row>
    <row r="27" spans="1:21" ht="14.65" thickBot="1">
      <c r="A27" s="172">
        <v>4</v>
      </c>
      <c r="B27" s="174" t="s">
        <v>160</v>
      </c>
      <c r="C27" s="90" t="s">
        <v>35</v>
      </c>
      <c r="D27" s="135">
        <v>0.04</v>
      </c>
      <c r="E27" s="129">
        <v>0.05</v>
      </c>
      <c r="F27" s="33"/>
      <c r="G27" s="135">
        <f>F27*D27</f>
        <v>0</v>
      </c>
      <c r="H27" s="305">
        <f>E27*F27</f>
        <v>0</v>
      </c>
      <c r="I27" s="83" t="s">
        <v>160</v>
      </c>
      <c r="J27" s="90" t="s">
        <v>244</v>
      </c>
      <c r="K27" s="129">
        <f t="shared" si="2"/>
        <v>2</v>
      </c>
      <c r="L27" s="43"/>
      <c r="M27" s="129">
        <f>L27*(K27*IF($K$14="Aggressive",'Hidden Background Parameters'!$B$4,IF($K$14="Conservative",'Hidden Background Parameters'!$B$2,IF($K$14="normal",'Hidden Background Parameters'!$B$3,10000000000))))*IF($N$14="Parallel PSU",'Hidden Background Parameters'!$B$10,1)</f>
        <v>0</v>
      </c>
      <c r="N27" s="91"/>
      <c r="O27" s="128"/>
      <c r="P27" s="64"/>
      <c r="Q27" s="309">
        <f t="shared" ref="Q27:Q31" si="3">2*30</f>
        <v>60</v>
      </c>
      <c r="R27" s="310">
        <f>L27*$D$18*30*$S$22</f>
        <v>0</v>
      </c>
      <c r="S27" s="310">
        <f>L27*$E$18*30*$S$22</f>
        <v>0</v>
      </c>
    </row>
    <row r="28" spans="1:21" ht="14.65" thickBot="1">
      <c r="A28" s="172">
        <v>4</v>
      </c>
      <c r="B28" s="174" t="s">
        <v>160</v>
      </c>
      <c r="C28" s="90" t="s">
        <v>36</v>
      </c>
      <c r="D28" s="135">
        <v>0.01</v>
      </c>
      <c r="E28" s="129">
        <v>0.09</v>
      </c>
      <c r="F28" s="31"/>
      <c r="G28" s="135">
        <f t="shared" ref="G28:G30" si="4">F28*D28</f>
        <v>0</v>
      </c>
      <c r="H28" s="305">
        <f t="shared" ref="H28:H30" si="5">E28*F28</f>
        <v>0</v>
      </c>
      <c r="I28" s="83" t="s">
        <v>160</v>
      </c>
      <c r="J28" s="90" t="s">
        <v>184</v>
      </c>
      <c r="K28" s="129">
        <f t="shared" si="2"/>
        <v>2</v>
      </c>
      <c r="L28" s="51"/>
      <c r="M28" s="129">
        <f>L28*(K28*IF($K$14="Aggressive",'Hidden Background Parameters'!$B$4,IF($K$14="Conservative",'Hidden Background Parameters'!$B$2,IF($K$14="normal",'Hidden Background Parameters'!$B$3,10000000000))))*IF($N$14="Parallel PSU",'Hidden Background Parameters'!$B$10,1)</f>
        <v>0</v>
      </c>
      <c r="N28" s="91"/>
      <c r="O28" s="128"/>
      <c r="P28" s="64"/>
      <c r="Q28" s="309">
        <f t="shared" si="3"/>
        <v>60</v>
      </c>
      <c r="R28" s="310">
        <f>L28*$D$18*30*$S$22</f>
        <v>0</v>
      </c>
      <c r="S28" s="310">
        <f>L28*$E$18*30*$S$22</f>
        <v>0</v>
      </c>
    </row>
    <row r="29" spans="1:21" ht="14.65" thickBot="1">
      <c r="A29" s="172">
        <v>4</v>
      </c>
      <c r="B29" s="174" t="s">
        <v>160</v>
      </c>
      <c r="C29" s="110" t="s">
        <v>37</v>
      </c>
      <c r="D29" s="107">
        <v>5.0000000000000001E-3</v>
      </c>
      <c r="E29" s="107">
        <v>5.0000000000000001E-3</v>
      </c>
      <c r="F29" s="33"/>
      <c r="G29" s="100">
        <f t="shared" si="4"/>
        <v>0</v>
      </c>
      <c r="H29" s="101">
        <f t="shared" si="5"/>
        <v>0</v>
      </c>
      <c r="I29" s="83" t="s">
        <v>160</v>
      </c>
      <c r="J29" s="90" t="s">
        <v>180</v>
      </c>
      <c r="K29" s="129">
        <f t="shared" si="2"/>
        <v>2</v>
      </c>
      <c r="L29" s="43"/>
      <c r="M29" s="129">
        <f>L29*(K29*IF($K$14="Aggressive",'Hidden Background Parameters'!$B$4,IF($K$14="Conservative",'Hidden Background Parameters'!$B$2,IF($K$14="normal",'Hidden Background Parameters'!$B$3,10000000000))))*IF($N$14="Parallel PSU",'Hidden Background Parameters'!$B$10,1)</f>
        <v>0</v>
      </c>
      <c r="N29" s="91"/>
      <c r="O29" s="128"/>
      <c r="P29" s="82"/>
      <c r="Q29" s="309">
        <f t="shared" si="3"/>
        <v>60</v>
      </c>
      <c r="R29" s="310">
        <f>L29*$D$19*30*$S$22</f>
        <v>0</v>
      </c>
      <c r="S29" s="310">
        <f>L29*$E$19*30*$S$22</f>
        <v>0</v>
      </c>
    </row>
    <row r="30" spans="1:21" ht="14.65" thickBot="1">
      <c r="A30" s="172">
        <v>4</v>
      </c>
      <c r="B30" s="174" t="s">
        <v>160</v>
      </c>
      <c r="C30" s="90" t="s">
        <v>39</v>
      </c>
      <c r="D30" s="135">
        <v>0.08</v>
      </c>
      <c r="E30" s="135">
        <v>0.08</v>
      </c>
      <c r="F30" s="31"/>
      <c r="G30" s="135">
        <f t="shared" si="4"/>
        <v>0</v>
      </c>
      <c r="H30" s="305">
        <f t="shared" si="5"/>
        <v>0</v>
      </c>
      <c r="I30" s="83" t="s">
        <v>160</v>
      </c>
      <c r="J30" s="90" t="s">
        <v>182</v>
      </c>
      <c r="K30" s="129">
        <f t="shared" si="2"/>
        <v>2</v>
      </c>
      <c r="L30" s="51"/>
      <c r="M30" s="129">
        <f>L30*(K30*IF($K$14="Aggressive",'Hidden Background Parameters'!$B$4,IF($K$14="Conservative",'Hidden Background Parameters'!$B$2,IF($K$14="normal",'Hidden Background Parameters'!$B$3,10000000000))))*IF($N$14="Parallel PSU",'Hidden Background Parameters'!$B$10,1)</f>
        <v>0</v>
      </c>
      <c r="N30" s="91"/>
      <c r="O30" s="128"/>
      <c r="P30" s="82"/>
      <c r="Q30" s="309">
        <f t="shared" si="3"/>
        <v>60</v>
      </c>
      <c r="R30" s="310">
        <f>L30*$D$18*30*$S$22</f>
        <v>0</v>
      </c>
      <c r="S30" s="310">
        <f>L30*$E$18*30*$S$22</f>
        <v>0</v>
      </c>
      <c r="U30" s="10"/>
    </row>
    <row r="31" spans="1:21" ht="14.65" thickBot="1">
      <c r="A31" s="172">
        <v>4</v>
      </c>
      <c r="B31" s="174" t="s">
        <v>160</v>
      </c>
      <c r="C31" s="90" t="s">
        <v>40</v>
      </c>
      <c r="D31" s="135">
        <v>0.04</v>
      </c>
      <c r="E31" s="129">
        <v>0.05</v>
      </c>
      <c r="F31" s="33"/>
      <c r="G31" s="135">
        <f t="shared" ref="G31:G39" si="6">F31*D31</f>
        <v>0</v>
      </c>
      <c r="H31" s="305">
        <f t="shared" ref="H31:H39" si="7">E31*F31</f>
        <v>0</v>
      </c>
      <c r="J31" s="90" t="s">
        <v>42</v>
      </c>
      <c r="K31" s="129">
        <f t="shared" si="2"/>
        <v>2</v>
      </c>
      <c r="L31" s="43"/>
      <c r="M31" s="129">
        <f>L31*(K31*IF($K$14="Aggressive",'Hidden Background Parameters'!$B$4,IF($K$14="Conservative",'Hidden Background Parameters'!$B$2,IF($K$14="normal",'Hidden Background Parameters'!$B$3,10000000000))))*IF($N$14="Parallel PSU",'Hidden Background Parameters'!$B$10,1)</f>
        <v>0</v>
      </c>
      <c r="N31" s="91"/>
      <c r="O31" s="128"/>
      <c r="P31" s="82"/>
      <c r="Q31" s="309">
        <f t="shared" si="3"/>
        <v>60</v>
      </c>
      <c r="R31" s="310">
        <f>L31*$D$19*30*$S$22</f>
        <v>0</v>
      </c>
      <c r="S31" s="310">
        <f>L31*$E$19*30*$S$22</f>
        <v>0</v>
      </c>
      <c r="U31" s="10"/>
    </row>
    <row r="32" spans="1:21" ht="14.65" thickBot="1">
      <c r="A32" s="172">
        <v>4</v>
      </c>
      <c r="B32" s="174" t="s">
        <v>160</v>
      </c>
      <c r="C32" s="90" t="s">
        <v>41</v>
      </c>
      <c r="D32" s="135">
        <v>0.05</v>
      </c>
      <c r="E32" s="129">
        <v>0.06</v>
      </c>
      <c r="F32" s="31"/>
      <c r="G32" s="135">
        <f t="shared" si="6"/>
        <v>0</v>
      </c>
      <c r="H32" s="305">
        <f t="shared" si="7"/>
        <v>0</v>
      </c>
      <c r="I32" s="83"/>
      <c r="J32" s="120" t="s">
        <v>171</v>
      </c>
      <c r="K32" s="91"/>
      <c r="L32" s="91"/>
      <c r="M32" s="111"/>
      <c r="N32" s="91"/>
      <c r="O32" s="128"/>
      <c r="P32" s="82"/>
      <c r="Q32" s="319"/>
      <c r="R32" s="312"/>
      <c r="S32" s="312"/>
      <c r="U32" s="10"/>
    </row>
    <row r="33" spans="1:21" ht="14.65" thickBot="1">
      <c r="A33" s="172">
        <v>4</v>
      </c>
      <c r="B33" s="174" t="s">
        <v>160</v>
      </c>
      <c r="C33" s="90" t="s">
        <v>43</v>
      </c>
      <c r="D33" s="129">
        <v>0.03</v>
      </c>
      <c r="E33" s="129">
        <v>0.03</v>
      </c>
      <c r="F33" s="40"/>
      <c r="G33" s="135">
        <f t="shared" si="6"/>
        <v>0</v>
      </c>
      <c r="H33" s="305">
        <f t="shared" si="7"/>
        <v>0</v>
      </c>
      <c r="I33" s="83"/>
      <c r="J33" s="90" t="s">
        <v>245</v>
      </c>
      <c r="K33" s="91"/>
      <c r="L33" s="91"/>
      <c r="M33" s="91"/>
      <c r="N33" s="91"/>
      <c r="O33" s="128"/>
      <c r="P33" s="64"/>
      <c r="Q33" s="309"/>
      <c r="R33" s="312"/>
      <c r="S33" s="312"/>
      <c r="U33" s="10"/>
    </row>
    <row r="34" spans="1:21" ht="14.65" thickBot="1">
      <c r="A34" s="172">
        <v>4</v>
      </c>
      <c r="B34" s="174" t="s">
        <v>160</v>
      </c>
      <c r="C34" s="90" t="s">
        <v>403</v>
      </c>
      <c r="D34" s="107">
        <v>6.5000000000000002E-2</v>
      </c>
      <c r="E34" s="107">
        <v>6.5000000000000002E-2</v>
      </c>
      <c r="F34" s="40"/>
      <c r="G34" s="100">
        <f t="shared" ref="G34" si="8">F34*D34</f>
        <v>0</v>
      </c>
      <c r="H34" s="101">
        <f t="shared" ref="H34" si="9">E34*F34</f>
        <v>0</v>
      </c>
      <c r="I34" s="83" t="s">
        <v>192</v>
      </c>
      <c r="J34" s="143" t="s">
        <v>414</v>
      </c>
      <c r="K34" s="26" t="s">
        <v>169</v>
      </c>
      <c r="L34" s="121"/>
      <c r="M34" s="130"/>
      <c r="N34" s="91"/>
      <c r="O34" s="128"/>
      <c r="P34" s="64"/>
      <c r="Q34" s="309"/>
      <c r="R34" s="312"/>
      <c r="S34" s="312"/>
      <c r="U34" s="10"/>
    </row>
    <row r="35" spans="1:21" ht="14.65" thickBot="1">
      <c r="A35" s="172">
        <v>5</v>
      </c>
      <c r="B35" s="174" t="s">
        <v>160</v>
      </c>
      <c r="C35" s="90" t="s">
        <v>254</v>
      </c>
      <c r="D35" s="129">
        <v>0.03</v>
      </c>
      <c r="E35" s="129">
        <v>0.03</v>
      </c>
      <c r="F35" s="40"/>
      <c r="G35" s="135">
        <f>F35*D35</f>
        <v>0</v>
      </c>
      <c r="H35" s="305">
        <f>E35*F35</f>
        <v>0</v>
      </c>
      <c r="I35" s="83" t="s">
        <v>192</v>
      </c>
      <c r="J35" s="90" t="s">
        <v>405</v>
      </c>
      <c r="K35" s="129">
        <f>IF($K$34="per Device",2*0.56,0.56)</f>
        <v>1.1200000000000001</v>
      </c>
      <c r="L35" s="43"/>
      <c r="M35" s="129">
        <f>L35*(K35*IF($K$14="Aggressive",'Hidden Background Parameters'!$D$4,IF($K$14="Conservative",'Hidden Background Parameters'!$D$2,IF($K$14="normal",'Hidden Background Parameters'!$D$3,10000000000))))*IF($N$14="Parallel PSU",'Hidden Background Parameters'!$B$10,1)</f>
        <v>0</v>
      </c>
      <c r="N35" s="91"/>
      <c r="O35" s="128"/>
      <c r="P35" s="64"/>
      <c r="Q35" s="309">
        <v>60</v>
      </c>
      <c r="R35" s="312">
        <f>L35*$S$22*9999999999</f>
        <v>0</v>
      </c>
      <c r="S35" s="312">
        <f>L35*$S$22*9999999999</f>
        <v>0</v>
      </c>
      <c r="T35" s="321"/>
      <c r="U35" s="10"/>
    </row>
    <row r="36" spans="1:21" ht="14.65" thickBot="1">
      <c r="A36" s="172">
        <v>5</v>
      </c>
      <c r="B36" s="174" t="s">
        <v>192</v>
      </c>
      <c r="C36" s="90" t="s">
        <v>407</v>
      </c>
      <c r="D36" s="135">
        <v>0.01</v>
      </c>
      <c r="E36" s="129">
        <v>0.01</v>
      </c>
      <c r="F36" s="31"/>
      <c r="G36" s="135">
        <f>F36*D36</f>
        <v>0</v>
      </c>
      <c r="H36" s="305">
        <f>E36*F36</f>
        <v>0</v>
      </c>
      <c r="I36" s="83" t="s">
        <v>192</v>
      </c>
      <c r="J36" s="90" t="s">
        <v>404</v>
      </c>
      <c r="K36" s="129">
        <f>IF($K$34="per Device",2*0.56,0.56)</f>
        <v>1.1200000000000001</v>
      </c>
      <c r="L36" s="43"/>
      <c r="M36" s="129">
        <f>L36*(K36*IF($K$14="Aggressive",'Hidden Background Parameters'!$D$4,IF($K$14="Conservative",'Hidden Background Parameters'!$D$2,IF($K$14="normal",'Hidden Background Parameters'!$D$3,10000000000))))*IF($N$14="Parallel PSU",'Hidden Background Parameters'!$B$10,1)</f>
        <v>0</v>
      </c>
      <c r="N36" s="91"/>
      <c r="O36" s="128"/>
      <c r="P36" s="64"/>
      <c r="Q36" s="309">
        <v>60</v>
      </c>
      <c r="R36" s="312">
        <f>L36*$S$22*9999999999</f>
        <v>0</v>
      </c>
      <c r="S36" s="312">
        <f>L36*$S$22*9999999999</f>
        <v>0</v>
      </c>
      <c r="T36" s="321"/>
      <c r="U36" s="10"/>
    </row>
    <row r="37" spans="1:21" ht="14.65" thickBot="1">
      <c r="A37" s="172">
        <v>5</v>
      </c>
      <c r="B37" s="174" t="s">
        <v>192</v>
      </c>
      <c r="C37" s="90" t="s">
        <v>406</v>
      </c>
      <c r="D37" s="135">
        <v>0.01</v>
      </c>
      <c r="E37" s="129">
        <v>0.01</v>
      </c>
      <c r="F37" s="31"/>
      <c r="G37" s="135">
        <f t="shared" ref="G37" si="10">F37*D37</f>
        <v>0</v>
      </c>
      <c r="H37" s="305">
        <f t="shared" ref="H37" si="11">E37*F37</f>
        <v>0</v>
      </c>
      <c r="I37" s="83" t="s">
        <v>192</v>
      </c>
      <c r="J37" s="90" t="s">
        <v>47</v>
      </c>
      <c r="K37" s="129">
        <f>IF($K$34="per Device",2*0.4,0.4)</f>
        <v>0.8</v>
      </c>
      <c r="L37" s="43"/>
      <c r="M37" s="129">
        <f>L37*(K37*IF($K$14="Aggressive",'Hidden Background Parameters'!$D$4,IF($K$14="Conservative",'Hidden Background Parameters'!$D$2,IF($K$14="normal",'Hidden Background Parameters'!$D$3,10000000000))))*IF($N$14="Parallel PSU",'Hidden Background Parameters'!$B$10,1)</f>
        <v>0</v>
      </c>
      <c r="N37" s="91"/>
      <c r="O37" s="128"/>
      <c r="P37" s="64"/>
      <c r="Q37" s="309">
        <v>60</v>
      </c>
      <c r="R37" s="312">
        <f>L37*$S$22*9999999999</f>
        <v>0</v>
      </c>
      <c r="S37" s="312">
        <f>L37*$S$22*9999999999</f>
        <v>0</v>
      </c>
      <c r="T37" s="321"/>
      <c r="U37" s="10"/>
    </row>
    <row r="38" spans="1:21" ht="14.65" thickBot="1">
      <c r="A38" s="172">
        <v>5</v>
      </c>
      <c r="B38" s="174" t="s">
        <v>192</v>
      </c>
      <c r="C38" s="90" t="s">
        <v>411</v>
      </c>
      <c r="D38" s="135">
        <v>0.01</v>
      </c>
      <c r="E38" s="129">
        <v>0.01</v>
      </c>
      <c r="F38" s="31"/>
      <c r="G38" s="135">
        <f>F38*D38</f>
        <v>0</v>
      </c>
      <c r="H38" s="305">
        <f>E38*F38</f>
        <v>0</v>
      </c>
      <c r="I38" s="83" t="s">
        <v>192</v>
      </c>
      <c r="J38" s="90" t="s">
        <v>49</v>
      </c>
      <c r="K38" s="129">
        <v>7.0000000000000007E-2</v>
      </c>
      <c r="L38" s="51"/>
      <c r="M38" s="129">
        <f>L38*(K38*IF($K$14="Aggressive",'Hidden Background Parameters'!$D$4,IF($K$14="Conservative",'Hidden Background Parameters'!$D$2,IF($K$14="normal",'Hidden Background Parameters'!$D$3,10000000000))))*IF($N$14="Parallel PSU",'Hidden Background Parameters'!$B$10,1)</f>
        <v>0</v>
      </c>
      <c r="N38" s="91"/>
      <c r="O38" s="128"/>
      <c r="Q38" s="309">
        <v>24</v>
      </c>
      <c r="R38" s="312">
        <f t="shared" ref="R38:R40" si="12">L38*$S$22*9999999999</f>
        <v>0</v>
      </c>
      <c r="S38" s="312">
        <f t="shared" ref="S38:S40" si="13">L38*$S$22*9999999999</f>
        <v>0</v>
      </c>
      <c r="U38" s="10"/>
    </row>
    <row r="39" spans="1:21" ht="14.65" thickBot="1">
      <c r="A39" s="172">
        <v>5</v>
      </c>
      <c r="B39" s="174" t="s">
        <v>192</v>
      </c>
      <c r="C39" s="90" t="s">
        <v>206</v>
      </c>
      <c r="D39" s="100">
        <v>2.5000000000000001E-2</v>
      </c>
      <c r="E39" s="107">
        <v>2.5000000000000001E-2</v>
      </c>
      <c r="F39" s="31"/>
      <c r="G39" s="100">
        <f>F39*D39</f>
        <v>0</v>
      </c>
      <c r="H39" s="101">
        <f>E39*F39</f>
        <v>0</v>
      </c>
      <c r="I39" s="83" t="s">
        <v>192</v>
      </c>
      <c r="J39" s="90" t="s">
        <v>51</v>
      </c>
      <c r="K39" s="129">
        <v>0.15</v>
      </c>
      <c r="L39" s="43"/>
      <c r="M39" s="129">
        <f>L39*(K39*IF($K$14="Aggressive",'Hidden Background Parameters'!$D$4,IF($K$14="Conservative",'Hidden Background Parameters'!$D$2,IF($K$14="normal",'Hidden Background Parameters'!$D$3,10000000000))))*IF($N$14="Parallel PSU",'Hidden Background Parameters'!$B$10,1)</f>
        <v>0</v>
      </c>
      <c r="N39" s="91"/>
      <c r="O39" s="128"/>
      <c r="P39" s="82"/>
      <c r="Q39" s="309">
        <v>24</v>
      </c>
      <c r="R39" s="312">
        <f t="shared" si="12"/>
        <v>0</v>
      </c>
      <c r="S39" s="312">
        <f t="shared" si="13"/>
        <v>0</v>
      </c>
    </row>
    <row r="40" spans="1:21" ht="14.65" thickBot="1">
      <c r="B40" s="174" t="s">
        <v>192</v>
      </c>
      <c r="C40" s="90" t="s">
        <v>207</v>
      </c>
      <c r="D40" s="129">
        <v>0.01</v>
      </c>
      <c r="E40" s="129">
        <v>0.01</v>
      </c>
      <c r="F40" s="40"/>
      <c r="G40" s="135">
        <f>F40*D40</f>
        <v>0</v>
      </c>
      <c r="H40" s="305">
        <f>E40*F40</f>
        <v>0</v>
      </c>
      <c r="J40" s="90" t="s">
        <v>53</v>
      </c>
      <c r="K40" s="135">
        <f>IF($K$34="per Device",2*0.25,0.25)</f>
        <v>0.5</v>
      </c>
      <c r="L40" s="54"/>
      <c r="M40" s="129">
        <f>L40*(K40*IF($K$14="Aggressive",'Hidden Background Parameters'!$D$4,IF($K$14="Conservative",'Hidden Background Parameters'!$D$2,IF($K$14="normal",'Hidden Background Parameters'!$D$3,10000000000))))*IF($N$14="Parallel PSU",'Hidden Background Parameters'!$B$10,1)</f>
        <v>0</v>
      </c>
      <c r="N40" s="91"/>
      <c r="O40" s="128"/>
      <c r="P40" s="82"/>
      <c r="Q40" s="309">
        <v>60</v>
      </c>
      <c r="R40" s="312">
        <f t="shared" si="12"/>
        <v>0</v>
      </c>
      <c r="S40" s="312">
        <f t="shared" si="13"/>
        <v>0</v>
      </c>
      <c r="U40" s="3"/>
    </row>
    <row r="41" spans="1:21" ht="14.65" thickBot="1">
      <c r="A41" s="172">
        <v>4</v>
      </c>
      <c r="B41" s="174" t="s">
        <v>160</v>
      </c>
      <c r="C41" s="109" t="s">
        <v>44</v>
      </c>
      <c r="D41" s="100"/>
      <c r="E41" s="91"/>
      <c r="F41" s="91"/>
      <c r="G41" s="92"/>
      <c r="H41" s="93"/>
      <c r="J41" s="140" t="s">
        <v>164</v>
      </c>
      <c r="K41" s="91"/>
      <c r="L41" s="141"/>
      <c r="M41" s="129"/>
      <c r="N41" s="91"/>
      <c r="O41" s="93"/>
      <c r="P41" s="82"/>
      <c r="Q41" s="309"/>
      <c r="R41" s="312"/>
      <c r="S41" s="312"/>
      <c r="U41" s="3"/>
    </row>
    <row r="42" spans="1:21" ht="14.65" thickBot="1">
      <c r="A42" s="172">
        <v>4</v>
      </c>
      <c r="B42" s="174" t="s">
        <v>160</v>
      </c>
      <c r="C42" s="90" t="s">
        <v>45</v>
      </c>
      <c r="D42" s="129">
        <v>0.09</v>
      </c>
      <c r="E42" s="129">
        <v>0.09</v>
      </c>
      <c r="F42" s="31"/>
      <c r="G42" s="135">
        <f t="shared" ref="G42:G47" si="14">F42*D42</f>
        <v>0</v>
      </c>
      <c r="H42" s="305">
        <f t="shared" ref="H42:H47" si="15">E42*F42</f>
        <v>0</v>
      </c>
      <c r="J42" s="90" t="s">
        <v>245</v>
      </c>
      <c r="K42" s="91"/>
      <c r="L42" s="91"/>
      <c r="M42" s="91"/>
      <c r="N42" s="91"/>
      <c r="O42" s="128"/>
      <c r="P42" s="82"/>
      <c r="Q42" s="309"/>
      <c r="R42" s="312"/>
      <c r="S42" s="312"/>
      <c r="U42" s="3"/>
    </row>
    <row r="43" spans="1:21" ht="14.65" thickBot="1">
      <c r="A43" s="172">
        <v>4</v>
      </c>
      <c r="B43" s="174" t="s">
        <v>160</v>
      </c>
      <c r="C43" s="90" t="s">
        <v>208</v>
      </c>
      <c r="D43" s="129">
        <v>0.09</v>
      </c>
      <c r="E43" s="129">
        <v>0.09</v>
      </c>
      <c r="F43" s="31"/>
      <c r="G43" s="135">
        <f t="shared" si="14"/>
        <v>0</v>
      </c>
      <c r="H43" s="305">
        <f t="shared" si="15"/>
        <v>0</v>
      </c>
      <c r="I43" s="83" t="s">
        <v>160</v>
      </c>
      <c r="J43" s="109" t="s">
        <v>170</v>
      </c>
      <c r="K43" s="91"/>
      <c r="L43" s="91"/>
      <c r="M43" s="91"/>
      <c r="N43" s="91"/>
      <c r="O43" s="128"/>
      <c r="P43" s="64"/>
      <c r="Q43" s="309"/>
      <c r="R43" s="312"/>
      <c r="S43" s="312"/>
      <c r="U43" s="3"/>
    </row>
    <row r="44" spans="1:21" ht="14.65" thickBot="1">
      <c r="A44" s="172">
        <v>4</v>
      </c>
      <c r="B44" s="174" t="s">
        <v>160</v>
      </c>
      <c r="C44" s="90" t="s">
        <v>46</v>
      </c>
      <c r="D44" s="135">
        <v>0.14000000000000001</v>
      </c>
      <c r="E44" s="129">
        <v>0.18</v>
      </c>
      <c r="F44" s="33"/>
      <c r="G44" s="135">
        <f t="shared" si="14"/>
        <v>0</v>
      </c>
      <c r="H44" s="305">
        <f t="shared" si="15"/>
        <v>0</v>
      </c>
      <c r="J44" s="90" t="s">
        <v>32</v>
      </c>
      <c r="K44" s="129">
        <v>0.4</v>
      </c>
      <c r="L44" s="43"/>
      <c r="M44" s="129">
        <f>L44*(K44*IF($K$14="Aggressive",'Hidden Background Parameters'!$C$4,IF($K$14="Conservative",'Hidden Background Parameters'!$C$2,IF($K$14="normal",'Hidden Background Parameters'!$C$3,10000000000))))</f>
        <v>0</v>
      </c>
      <c r="N44" s="91"/>
      <c r="O44" s="131"/>
      <c r="Q44" s="309"/>
      <c r="R44" s="310">
        <f>L44*D15*30*$S$22</f>
        <v>0</v>
      </c>
      <c r="S44" s="310">
        <f>L44*E15*30*$S$22</f>
        <v>0</v>
      </c>
    </row>
    <row r="45" spans="1:21" ht="14.65" thickBot="1">
      <c r="A45" s="172">
        <v>3.75</v>
      </c>
      <c r="B45" s="174" t="s">
        <v>160</v>
      </c>
      <c r="C45" s="90" t="s">
        <v>48</v>
      </c>
      <c r="D45" s="135">
        <v>0.12</v>
      </c>
      <c r="E45" s="129">
        <v>0.15</v>
      </c>
      <c r="F45" s="31"/>
      <c r="G45" s="135">
        <f t="shared" si="14"/>
        <v>0</v>
      </c>
      <c r="H45" s="305">
        <f t="shared" si="15"/>
        <v>0</v>
      </c>
      <c r="J45" s="90" t="s">
        <v>413</v>
      </c>
      <c r="K45" s="129">
        <v>0.55000000000000004</v>
      </c>
      <c r="L45" s="43"/>
      <c r="M45" s="129">
        <f>L45*(K45*IF($K$14="Aggressive",'Hidden Background Parameters'!$C$4,IF($K$14="Conservative",'Hidden Background Parameters'!$C$2,IF($K$14="normal",'Hidden Background Parameters'!$C$3,10000000000))))</f>
        <v>0</v>
      </c>
      <c r="N45" s="91"/>
      <c r="O45" s="131"/>
      <c r="Q45" s="309"/>
      <c r="R45" s="312"/>
      <c r="S45" s="312"/>
    </row>
    <row r="46" spans="1:21" ht="14.65" thickBot="1">
      <c r="A46" s="172">
        <v>4</v>
      </c>
      <c r="B46" s="175" t="s">
        <v>156</v>
      </c>
      <c r="C46" s="90" t="s">
        <v>50</v>
      </c>
      <c r="D46" s="129">
        <v>0.01</v>
      </c>
      <c r="E46" s="129">
        <v>0.01</v>
      </c>
      <c r="F46" s="33"/>
      <c r="G46" s="135">
        <f t="shared" si="14"/>
        <v>0</v>
      </c>
      <c r="H46" s="305">
        <f t="shared" si="15"/>
        <v>0</v>
      </c>
      <c r="I46" s="84"/>
      <c r="J46" s="337" t="s">
        <v>412</v>
      </c>
      <c r="K46" s="139"/>
      <c r="L46" s="133"/>
      <c r="M46" s="132"/>
      <c r="N46" s="133"/>
      <c r="O46" s="134"/>
      <c r="Q46" s="309"/>
      <c r="R46" s="312"/>
      <c r="S46" s="312"/>
    </row>
    <row r="47" spans="1:21" ht="14.65" thickBot="1">
      <c r="B47" s="174" t="s">
        <v>160</v>
      </c>
      <c r="C47" s="90" t="s">
        <v>52</v>
      </c>
      <c r="D47" s="135">
        <v>0.1</v>
      </c>
      <c r="E47" s="129">
        <v>0.12</v>
      </c>
      <c r="F47" s="31"/>
      <c r="G47" s="135">
        <f t="shared" si="14"/>
        <v>0</v>
      </c>
      <c r="H47" s="305">
        <f t="shared" si="15"/>
        <v>0</v>
      </c>
      <c r="I47" s="84"/>
      <c r="J47" s="90"/>
      <c r="K47" s="91"/>
      <c r="L47" s="91"/>
      <c r="M47" s="91"/>
      <c r="N47" s="91"/>
      <c r="O47" s="128"/>
      <c r="Q47" s="309"/>
      <c r="R47" s="312"/>
      <c r="S47" s="312"/>
    </row>
    <row r="48" spans="1:21" ht="14.65" thickBot="1">
      <c r="A48" s="172">
        <v>3.75</v>
      </c>
      <c r="B48" s="175"/>
      <c r="C48" s="142" t="s">
        <v>202</v>
      </c>
      <c r="D48" s="100"/>
      <c r="E48" s="91"/>
      <c r="F48" s="91"/>
      <c r="G48" s="92"/>
      <c r="H48" s="93"/>
      <c r="I48" s="84" t="s">
        <v>158</v>
      </c>
      <c r="J48" s="113" t="s">
        <v>196</v>
      </c>
      <c r="K48" s="91"/>
      <c r="L48" s="92"/>
      <c r="M48" s="91"/>
      <c r="N48" s="91"/>
      <c r="O48" s="93"/>
      <c r="Q48" s="309"/>
      <c r="R48" s="312"/>
      <c r="S48" s="312"/>
    </row>
    <row r="49" spans="1:19" ht="14.65" thickBot="1">
      <c r="A49" s="172">
        <v>3.75</v>
      </c>
      <c r="B49" s="175" t="s">
        <v>156</v>
      </c>
      <c r="C49" s="112" t="s">
        <v>54</v>
      </c>
      <c r="D49" s="129">
        <v>0.01</v>
      </c>
      <c r="E49" s="129">
        <v>0.01</v>
      </c>
      <c r="F49" s="31"/>
      <c r="G49" s="135">
        <f>F49*D49</f>
        <v>0</v>
      </c>
      <c r="H49" s="305">
        <f>E49*F49</f>
        <v>0</v>
      </c>
      <c r="I49" s="84" t="s">
        <v>158</v>
      </c>
      <c r="J49" s="113" t="s">
        <v>195</v>
      </c>
      <c r="K49" s="26" t="s">
        <v>167</v>
      </c>
      <c r="L49" s="92"/>
      <c r="M49" s="91"/>
      <c r="N49" s="91"/>
      <c r="O49" s="93"/>
      <c r="Q49" s="309"/>
      <c r="R49" s="312"/>
      <c r="S49" s="312"/>
    </row>
    <row r="50" spans="1:19" ht="14.65" thickBot="1">
      <c r="B50" s="175" t="s">
        <v>156</v>
      </c>
      <c r="C50" s="112" t="s">
        <v>55</v>
      </c>
      <c r="D50" s="129">
        <v>0.01</v>
      </c>
      <c r="E50" s="129">
        <v>0.01</v>
      </c>
      <c r="F50" s="31"/>
      <c r="G50" s="135">
        <f>F50*D50</f>
        <v>0</v>
      </c>
      <c r="H50" s="305">
        <f>E50*F50</f>
        <v>0</v>
      </c>
      <c r="I50" s="84" t="s">
        <v>158</v>
      </c>
      <c r="J50" s="112" t="s">
        <v>145</v>
      </c>
      <c r="K50" s="119">
        <f>IF($K$49="per Channel",1.75,2)</f>
        <v>2</v>
      </c>
      <c r="L50" s="43"/>
      <c r="M50" s="129">
        <f>L50*(K50*IF($K$14="Aggressive",'Hidden Background Parameters'!$B$4,IF($K$14="Conservative",'Hidden Background Parameters'!$B$2,IF($K$14="normal",'Hidden Background Parameters'!$B$3,10000000000))))*IF($N$14="Parallel PSU",'Hidden Background Parameters'!$B$10,1)</f>
        <v>0</v>
      </c>
      <c r="N50" s="118" t="s">
        <v>193</v>
      </c>
      <c r="O50" s="150"/>
      <c r="Q50" s="309"/>
      <c r="R50" s="312"/>
      <c r="S50" s="312"/>
    </row>
    <row r="51" spans="1:19" ht="14.65" thickBot="1">
      <c r="A51" s="172">
        <v>3.5</v>
      </c>
      <c r="B51" s="175"/>
      <c r="C51" s="113" t="s">
        <v>251</v>
      </c>
      <c r="D51" s="107"/>
      <c r="E51" s="107"/>
      <c r="F51" s="91"/>
      <c r="G51" s="100"/>
      <c r="H51" s="101"/>
      <c r="I51" s="84" t="s">
        <v>158</v>
      </c>
      <c r="J51" s="112" t="s">
        <v>110</v>
      </c>
      <c r="K51" s="119">
        <f>IF($K$49="per Channel",1.75,2)</f>
        <v>2</v>
      </c>
      <c r="L51" s="43"/>
      <c r="M51" s="129">
        <f>L51*(K51*IF($K$14="Aggressive",'Hidden Background Parameters'!$B$4,IF($K$14="Conservative",'Hidden Background Parameters'!$B$2,IF($K$14="normal",'Hidden Background Parameters'!$B$3,10000000000))))*IF($N$14="Parallel PSU",'Hidden Background Parameters'!$B$10,1)</f>
        <v>0</v>
      </c>
      <c r="N51" s="118"/>
      <c r="O51" s="150"/>
      <c r="Q51" s="309"/>
      <c r="R51" s="312"/>
      <c r="S51" s="312"/>
    </row>
    <row r="52" spans="1:19" ht="14.65" thickBot="1">
      <c r="A52" s="172">
        <v>3.5</v>
      </c>
      <c r="B52" s="175" t="s">
        <v>158</v>
      </c>
      <c r="C52" s="112" t="s">
        <v>59</v>
      </c>
      <c r="D52" s="107">
        <v>2.5999999999999999E-2</v>
      </c>
      <c r="E52" s="129">
        <v>0.05</v>
      </c>
      <c r="F52" s="31"/>
      <c r="G52" s="100">
        <f t="shared" ref="G52:G54" si="16">F52*D52</f>
        <v>0</v>
      </c>
      <c r="H52" s="305">
        <f t="shared" ref="H52:H54" si="17">E52*F52</f>
        <v>0</v>
      </c>
      <c r="I52" s="84" t="s">
        <v>158</v>
      </c>
      <c r="J52" s="112" t="s">
        <v>112</v>
      </c>
      <c r="K52" s="119">
        <f>IF($K$49="per Channel",1.75,2)</f>
        <v>2</v>
      </c>
      <c r="L52" s="43"/>
      <c r="M52" s="129">
        <f>L52*(K52*IF($K$14="Aggressive",'Hidden Background Parameters'!$B$4,IF($K$14="Conservative",'Hidden Background Parameters'!$B$2,IF($K$14="normal",'Hidden Background Parameters'!$B$3,10000000000))))*IF($N$14="Parallel PSU",'Hidden Background Parameters'!$B$10,1)</f>
        <v>0</v>
      </c>
      <c r="N52" s="118"/>
      <c r="O52" s="150"/>
      <c r="Q52" s="309"/>
      <c r="R52" s="320"/>
      <c r="S52" s="312"/>
    </row>
    <row r="53" spans="1:19" ht="14.65" thickBot="1">
      <c r="A53" s="172">
        <v>3.5</v>
      </c>
      <c r="B53" s="175" t="s">
        <v>158</v>
      </c>
      <c r="C53" s="112" t="s">
        <v>173</v>
      </c>
      <c r="D53" s="107">
        <v>5.8000000000000003E-2</v>
      </c>
      <c r="E53" s="107">
        <v>7.4999999999999997E-2</v>
      </c>
      <c r="F53" s="31"/>
      <c r="G53" s="100">
        <f t="shared" si="16"/>
        <v>0</v>
      </c>
      <c r="H53" s="101">
        <f t="shared" si="17"/>
        <v>0</v>
      </c>
      <c r="I53" s="84" t="s">
        <v>158</v>
      </c>
      <c r="J53" s="112" t="s">
        <v>243</v>
      </c>
      <c r="K53" s="119">
        <v>0</v>
      </c>
      <c r="L53" s="43"/>
      <c r="M53" s="129">
        <f>L53*(K53*IF($K$14="Aggressive",'Hidden Background Parameters'!$B$4,IF($K$14="Conservative",'Hidden Background Parameters'!$B$2,IF($K$14="normal",'Hidden Background Parameters'!$B$3,10000000000))))*IF($N$14="Parallel PSU",'Hidden Background Parameters'!$B$10,1)</f>
        <v>0</v>
      </c>
      <c r="N53" s="118" t="s">
        <v>200</v>
      </c>
      <c r="O53" s="150"/>
      <c r="Q53" s="309"/>
      <c r="R53" s="312"/>
      <c r="S53" s="312"/>
    </row>
    <row r="54" spans="1:19" ht="14.65" thickBot="1">
      <c r="B54" s="175" t="s">
        <v>158</v>
      </c>
      <c r="C54" s="112" t="s">
        <v>174</v>
      </c>
      <c r="D54" s="107">
        <v>5.8000000000000003E-2</v>
      </c>
      <c r="E54" s="107">
        <v>6.8000000000000005E-2</v>
      </c>
      <c r="F54" s="31"/>
      <c r="G54" s="100">
        <f t="shared" si="16"/>
        <v>0</v>
      </c>
      <c r="H54" s="101">
        <f t="shared" si="17"/>
        <v>0</v>
      </c>
      <c r="I54" s="84" t="s">
        <v>158</v>
      </c>
      <c r="J54" s="112" t="s">
        <v>113</v>
      </c>
      <c r="K54" s="119">
        <v>0</v>
      </c>
      <c r="L54" s="43"/>
      <c r="M54" s="129">
        <f>L54*(K54*IF($K$14="Aggressive",'Hidden Background Parameters'!$B$4,IF($K$14="Conservative",'Hidden Background Parameters'!$B$2,IF($K$14="normal",'Hidden Background Parameters'!$B$3,10000000000))))*IF($N$14="Parallel PSU",'Hidden Background Parameters'!$B$10,1)</f>
        <v>0</v>
      </c>
      <c r="N54" s="118" t="s">
        <v>200</v>
      </c>
      <c r="O54" s="150"/>
      <c r="Q54" s="309"/>
      <c r="R54" s="312"/>
      <c r="S54" s="312"/>
    </row>
    <row r="55" spans="1:19" ht="14.65" thickBot="1">
      <c r="A55" s="172">
        <v>3</v>
      </c>
      <c r="B55" s="175"/>
      <c r="C55" s="113" t="s">
        <v>250</v>
      </c>
      <c r="D55" s="92"/>
      <c r="E55" s="92"/>
      <c r="F55" s="92"/>
      <c r="G55" s="92"/>
      <c r="H55" s="102"/>
      <c r="I55" s="84" t="s">
        <v>158</v>
      </c>
      <c r="J55" s="112" t="s">
        <v>94</v>
      </c>
      <c r="K55" s="119">
        <v>1</v>
      </c>
      <c r="L55" s="43"/>
      <c r="M55" s="129">
        <f>L55*(K55*IF($K$14="Aggressive",'Hidden Background Parameters'!$B$4,IF($K$14="Conservative",'Hidden Background Parameters'!$B$2,IF($K$14="normal",'Hidden Background Parameters'!$B$3,10000000000))))*IF($N$14="Parallel PSU",'Hidden Background Parameters'!$B$10,1)</f>
        <v>0</v>
      </c>
      <c r="N55" s="118"/>
      <c r="O55" s="150"/>
      <c r="Q55" s="309"/>
      <c r="R55" s="312"/>
      <c r="S55" s="312"/>
    </row>
    <row r="56" spans="1:19" ht="14.65" thickBot="1">
      <c r="A56" s="197">
        <v>3</v>
      </c>
      <c r="B56" s="175" t="s">
        <v>158</v>
      </c>
      <c r="C56" s="112" t="s">
        <v>102</v>
      </c>
      <c r="D56" s="107">
        <v>6.5000000000000002E-2</v>
      </c>
      <c r="E56" s="107">
        <v>0.12</v>
      </c>
      <c r="F56" s="31"/>
      <c r="G56" s="100">
        <f t="shared" ref="G56" si="18">F56*D56</f>
        <v>0</v>
      </c>
      <c r="H56" s="101">
        <f t="shared" ref="H56" si="19">E56*F56</f>
        <v>0</v>
      </c>
      <c r="I56" s="84" t="s">
        <v>158</v>
      </c>
      <c r="J56" s="112" t="s">
        <v>131</v>
      </c>
      <c r="K56" s="119">
        <v>2</v>
      </c>
      <c r="L56" s="43"/>
      <c r="M56" s="129">
        <f>L56*(K56*IF($K$14="Aggressive",'Hidden Background Parameters'!$B$4,IF($K$14="Conservative",'Hidden Background Parameters'!$B$2,IF($K$14="normal",'Hidden Background Parameters'!$B$3,10000000000))))*IF($N$14="Parallel PSU",'Hidden Background Parameters'!$B$10,1)</f>
        <v>0</v>
      </c>
      <c r="N56" s="118"/>
      <c r="O56" s="150"/>
      <c r="Q56" s="309"/>
      <c r="R56" s="312"/>
      <c r="S56" s="312"/>
    </row>
    <row r="57" spans="1:19" ht="14.65" thickBot="1">
      <c r="A57" s="172">
        <v>3</v>
      </c>
      <c r="B57" s="175" t="s">
        <v>158</v>
      </c>
      <c r="C57" s="112" t="s">
        <v>224</v>
      </c>
      <c r="D57" s="129">
        <v>0.04</v>
      </c>
      <c r="E57" s="129">
        <v>0.04</v>
      </c>
      <c r="F57" s="31"/>
      <c r="G57" s="135">
        <f t="shared" ref="G57:G75" si="20">F57*D57</f>
        <v>0</v>
      </c>
      <c r="H57" s="305">
        <f t="shared" ref="H57:H75" si="21">E57*F57</f>
        <v>0</v>
      </c>
      <c r="J57" s="112" t="s">
        <v>126</v>
      </c>
      <c r="K57" s="119">
        <f>IF($K$49="per Channel",1.75,2.5)</f>
        <v>2.5</v>
      </c>
      <c r="L57" s="43"/>
      <c r="M57" s="129">
        <f>L57*(K57*IF($K$14="Aggressive",'Hidden Background Parameters'!$B$4,IF($K$14="Conservative",'Hidden Background Parameters'!$B$2,IF($K$14="normal",'Hidden Background Parameters'!$B$3,10000000000))))*IF($N$14="Parallel PSU",'Hidden Background Parameters'!$B$10,1)</f>
        <v>0</v>
      </c>
      <c r="N57" s="146" t="s">
        <v>194</v>
      </c>
      <c r="O57" s="150"/>
      <c r="Q57" s="309"/>
      <c r="R57" s="312"/>
      <c r="S57" s="312"/>
    </row>
    <row r="58" spans="1:19" ht="14.65" thickBot="1">
      <c r="A58" s="172">
        <v>3</v>
      </c>
      <c r="B58" s="175" t="s">
        <v>158</v>
      </c>
      <c r="C58" s="112" t="s">
        <v>177</v>
      </c>
      <c r="D58" s="129">
        <v>0.03</v>
      </c>
      <c r="E58" s="129">
        <v>0.03</v>
      </c>
      <c r="F58" s="31"/>
      <c r="G58" s="135">
        <f t="shared" si="20"/>
        <v>0</v>
      </c>
      <c r="H58" s="305">
        <f t="shared" si="21"/>
        <v>0</v>
      </c>
      <c r="I58" s="84" t="s">
        <v>158</v>
      </c>
      <c r="J58" s="112" t="s">
        <v>111</v>
      </c>
      <c r="K58" s="119">
        <f>IF($K$49="per Channel",1.75,2)</f>
        <v>2</v>
      </c>
      <c r="L58" s="43"/>
      <c r="M58" s="129">
        <f>L58*(K58*IF($K$14="Aggressive",'Hidden Background Parameters'!$B$4,IF($K$14="Conservative",'Hidden Background Parameters'!$B$2,IF($K$14="normal",'Hidden Background Parameters'!$B$3,10000000000))))*IF($N$14="Parallel PSU",'Hidden Background Parameters'!$B$10,1)</f>
        <v>0</v>
      </c>
      <c r="N58" s="118"/>
      <c r="O58" s="150"/>
      <c r="Q58" s="309"/>
      <c r="R58" s="312"/>
      <c r="S58" s="312"/>
    </row>
    <row r="59" spans="1:19" ht="14.65" thickBot="1">
      <c r="A59" s="172">
        <v>3</v>
      </c>
      <c r="B59" s="175" t="s">
        <v>158</v>
      </c>
      <c r="C59" s="112" t="s">
        <v>136</v>
      </c>
      <c r="D59" s="129">
        <v>0.04</v>
      </c>
      <c r="E59" s="129">
        <v>0.06</v>
      </c>
      <c r="F59" s="31"/>
      <c r="G59" s="135">
        <f t="shared" si="20"/>
        <v>0</v>
      </c>
      <c r="H59" s="305">
        <f t="shared" si="21"/>
        <v>0</v>
      </c>
      <c r="J59" s="109" t="s">
        <v>170</v>
      </c>
      <c r="K59" s="91"/>
      <c r="L59" s="92"/>
      <c r="M59" s="91"/>
      <c r="N59" s="91"/>
      <c r="O59" s="102"/>
      <c r="Q59" s="309"/>
      <c r="R59" s="312"/>
      <c r="S59" s="312"/>
    </row>
    <row r="60" spans="1:19" ht="14.65" thickBot="1">
      <c r="A60" s="172">
        <v>3</v>
      </c>
      <c r="B60" s="175" t="s">
        <v>158</v>
      </c>
      <c r="C60" s="112" t="s">
        <v>133</v>
      </c>
      <c r="D60" s="129">
        <v>0.01</v>
      </c>
      <c r="E60" s="129">
        <v>0.08</v>
      </c>
      <c r="F60" s="31"/>
      <c r="G60" s="135">
        <f t="shared" si="20"/>
        <v>0</v>
      </c>
      <c r="H60" s="305">
        <f t="shared" si="21"/>
        <v>0</v>
      </c>
      <c r="I60" s="84"/>
      <c r="J60" s="112" t="s">
        <v>152</v>
      </c>
      <c r="K60" s="119">
        <v>0.4</v>
      </c>
      <c r="L60" s="43"/>
      <c r="M60" s="129">
        <f>L60*(K60*IF($K$14="Aggressive",'Hidden Background Parameters'!$C$4,IF($K$14="Conservative",'Hidden Background Parameters'!$C$2,IF($K$14="normal",'Hidden Background Parameters'!$C$3,10000000000))))</f>
        <v>0</v>
      </c>
      <c r="N60" s="118"/>
      <c r="O60" s="150"/>
      <c r="Q60" s="309"/>
      <c r="R60" s="312"/>
      <c r="S60" s="312"/>
    </row>
    <row r="61" spans="1:19" ht="14.65" thickBot="1">
      <c r="A61" s="172">
        <v>3</v>
      </c>
      <c r="B61" s="175" t="s">
        <v>158</v>
      </c>
      <c r="C61" s="112" t="s">
        <v>293</v>
      </c>
      <c r="D61" s="129">
        <v>0.05</v>
      </c>
      <c r="E61" s="129">
        <v>0.05</v>
      </c>
      <c r="F61" s="31"/>
      <c r="G61" s="135">
        <f t="shared" si="20"/>
        <v>0</v>
      </c>
      <c r="H61" s="305">
        <f t="shared" si="21"/>
        <v>0</v>
      </c>
      <c r="I61" s="84"/>
      <c r="J61" s="113"/>
      <c r="K61" s="91"/>
      <c r="L61" s="92"/>
      <c r="M61" s="91"/>
      <c r="N61" s="91"/>
      <c r="O61" s="93"/>
      <c r="Q61" s="309"/>
      <c r="R61" s="312"/>
      <c r="S61" s="312"/>
    </row>
    <row r="62" spans="1:19" ht="14.65" thickBot="1">
      <c r="A62" s="172">
        <v>3</v>
      </c>
      <c r="B62" s="175" t="s">
        <v>158</v>
      </c>
      <c r="C62" s="112" t="s">
        <v>79</v>
      </c>
      <c r="D62" s="135">
        <v>0.09</v>
      </c>
      <c r="E62" s="129">
        <v>0.1</v>
      </c>
      <c r="F62" s="31"/>
      <c r="G62" s="135">
        <f t="shared" si="20"/>
        <v>0</v>
      </c>
      <c r="H62" s="305">
        <f t="shared" si="21"/>
        <v>0</v>
      </c>
      <c r="I62" s="84" t="s">
        <v>155</v>
      </c>
      <c r="J62" s="113" t="s">
        <v>197</v>
      </c>
      <c r="K62" s="91"/>
      <c r="L62" s="92"/>
      <c r="M62" s="91"/>
      <c r="N62" s="91"/>
      <c r="O62" s="93"/>
      <c r="Q62" s="309"/>
      <c r="R62" s="312"/>
      <c r="S62" s="312"/>
    </row>
    <row r="63" spans="1:19" ht="14.65" thickBot="1">
      <c r="A63" s="172">
        <v>3</v>
      </c>
      <c r="B63" s="175" t="s">
        <v>158</v>
      </c>
      <c r="C63" s="112" t="s">
        <v>80</v>
      </c>
      <c r="D63" s="135">
        <v>0.09</v>
      </c>
      <c r="E63" s="129">
        <v>0.1</v>
      </c>
      <c r="F63" s="31"/>
      <c r="G63" s="135">
        <f t="shared" si="20"/>
        <v>0</v>
      </c>
      <c r="H63" s="305">
        <f t="shared" si="21"/>
        <v>0</v>
      </c>
      <c r="I63" s="84" t="s">
        <v>155</v>
      </c>
      <c r="J63" s="113" t="s">
        <v>198</v>
      </c>
      <c r="K63" s="26" t="s">
        <v>167</v>
      </c>
      <c r="L63" s="92"/>
      <c r="M63" s="91"/>
      <c r="N63" s="91"/>
      <c r="O63" s="102"/>
      <c r="Q63" s="309"/>
      <c r="R63" s="312"/>
      <c r="S63" s="312"/>
    </row>
    <row r="64" spans="1:19" ht="14.65" thickBot="1">
      <c r="A64" s="172">
        <v>3</v>
      </c>
      <c r="B64" s="175" t="s">
        <v>158</v>
      </c>
      <c r="C64" s="112" t="s">
        <v>83</v>
      </c>
      <c r="D64" s="135">
        <v>0.01</v>
      </c>
      <c r="E64" s="135">
        <v>0.03</v>
      </c>
      <c r="F64" s="31"/>
      <c r="G64" s="135">
        <f t="shared" si="20"/>
        <v>0</v>
      </c>
      <c r="H64" s="305">
        <f t="shared" si="21"/>
        <v>0</v>
      </c>
      <c r="I64" s="84" t="s">
        <v>155</v>
      </c>
      <c r="J64" s="112" t="s">
        <v>139</v>
      </c>
      <c r="K64" s="119">
        <v>1</v>
      </c>
      <c r="L64" s="43"/>
      <c r="M64" s="129">
        <f>L64*(K64*IF($K$14="Aggressive",'Hidden Background Parameters'!$B$4,IF($K$14="Conservative",'Hidden Background Parameters'!$B$2,IF($K$14="normal",'Hidden Background Parameters'!$B$3,10000000000))))*IF($N$14="Parallel PSU",'Hidden Background Parameters'!$B$10,1)</f>
        <v>0</v>
      </c>
      <c r="N64" s="118"/>
      <c r="O64" s="150"/>
      <c r="Q64" s="309"/>
      <c r="R64" s="312"/>
      <c r="S64" s="312"/>
    </row>
    <row r="65" spans="1:19" ht="14.65" thickBot="1">
      <c r="A65" s="172">
        <v>3</v>
      </c>
      <c r="B65" s="175" t="s">
        <v>158</v>
      </c>
      <c r="C65" s="112" t="s">
        <v>84</v>
      </c>
      <c r="D65" s="135">
        <v>0.01</v>
      </c>
      <c r="E65" s="135">
        <v>0.03</v>
      </c>
      <c r="F65" s="31"/>
      <c r="G65" s="135">
        <f t="shared" si="20"/>
        <v>0</v>
      </c>
      <c r="H65" s="305">
        <f t="shared" si="21"/>
        <v>0</v>
      </c>
      <c r="I65" s="84" t="s">
        <v>155</v>
      </c>
      <c r="J65" s="112" t="s">
        <v>106</v>
      </c>
      <c r="K65" s="119">
        <v>1</v>
      </c>
      <c r="L65" s="43"/>
      <c r="M65" s="129">
        <f>L65*(K65*IF($K$14="Aggressive",'Hidden Background Parameters'!$B$4,IF($K$14="Conservative",'Hidden Background Parameters'!$B$2,IF($K$14="normal",'Hidden Background Parameters'!$B$3,10000000000))))*IF($N$14="Parallel PSU",'Hidden Background Parameters'!$B$10,1)</f>
        <v>0</v>
      </c>
      <c r="N65" s="118"/>
      <c r="O65" s="150"/>
      <c r="Q65" s="309"/>
      <c r="R65" s="312"/>
      <c r="S65" s="312"/>
    </row>
    <row r="66" spans="1:19" ht="14.65" thickBot="1">
      <c r="A66" s="172">
        <v>3</v>
      </c>
      <c r="B66" s="175" t="s">
        <v>158</v>
      </c>
      <c r="C66" s="112" t="s">
        <v>243</v>
      </c>
      <c r="D66" s="135">
        <v>0</v>
      </c>
      <c r="E66" s="135">
        <v>0</v>
      </c>
      <c r="F66" s="31"/>
      <c r="G66" s="135">
        <f t="shared" si="20"/>
        <v>0</v>
      </c>
      <c r="H66" s="305">
        <f t="shared" si="21"/>
        <v>0</v>
      </c>
      <c r="I66" s="84" t="s">
        <v>155</v>
      </c>
      <c r="J66" s="112" t="s">
        <v>314</v>
      </c>
      <c r="K66" s="119">
        <v>1</v>
      </c>
      <c r="L66" s="43"/>
      <c r="M66" s="129">
        <f>L66*(K66*IF($K$14="Aggressive",'Hidden Background Parameters'!$B$4,IF($K$14="Conservative",'Hidden Background Parameters'!$B$2,IF($K$14="normal",'Hidden Background Parameters'!$B$3,10000000000))))*IF($N$14="Parallel PSU",'Hidden Background Parameters'!$B$10,1)</f>
        <v>0</v>
      </c>
      <c r="N66" s="118"/>
      <c r="O66" s="150"/>
      <c r="Q66" s="309"/>
      <c r="R66" s="312"/>
      <c r="S66" s="312"/>
    </row>
    <row r="67" spans="1:19" ht="14.65" thickBot="1">
      <c r="A67" s="172">
        <v>3</v>
      </c>
      <c r="B67" s="175" t="s">
        <v>158</v>
      </c>
      <c r="C67" s="112" t="s">
        <v>113</v>
      </c>
      <c r="D67" s="135">
        <v>0</v>
      </c>
      <c r="E67" s="135">
        <v>0</v>
      </c>
      <c r="F67" s="31"/>
      <c r="G67" s="135">
        <f t="shared" si="20"/>
        <v>0</v>
      </c>
      <c r="H67" s="305">
        <f t="shared" si="21"/>
        <v>0</v>
      </c>
      <c r="I67" s="84" t="s">
        <v>155</v>
      </c>
      <c r="J67" s="112" t="s">
        <v>140</v>
      </c>
      <c r="K67" s="119">
        <v>2</v>
      </c>
      <c r="L67" s="43"/>
      <c r="M67" s="129">
        <f>L67*(K67*IF($K$14="Aggressive",'Hidden Background Parameters'!$B$4,IF($K$14="Conservative",'Hidden Background Parameters'!$B$2,IF($K$14="normal",'Hidden Background Parameters'!$B$3,10000000000))))*IF($N$14="Parallel PSU",'Hidden Background Parameters'!$B$10,1)</f>
        <v>0</v>
      </c>
      <c r="N67" s="118"/>
      <c r="O67" s="150"/>
      <c r="Q67" s="309"/>
      <c r="R67" s="312"/>
      <c r="S67" s="312"/>
    </row>
    <row r="68" spans="1:19" ht="14.65" thickBot="1">
      <c r="A68" s="172">
        <v>3</v>
      </c>
      <c r="B68" s="175" t="s">
        <v>158</v>
      </c>
      <c r="C68" s="112" t="s">
        <v>227</v>
      </c>
      <c r="D68" s="100">
        <v>5.0000000000000001E-3</v>
      </c>
      <c r="E68" s="100">
        <v>5.0000000000000001E-3</v>
      </c>
      <c r="F68" s="31"/>
      <c r="G68" s="100">
        <f t="shared" si="20"/>
        <v>0</v>
      </c>
      <c r="H68" s="101">
        <f t="shared" si="21"/>
        <v>0</v>
      </c>
      <c r="J68" s="112" t="s">
        <v>150</v>
      </c>
      <c r="K68" s="119">
        <v>1</v>
      </c>
      <c r="L68" s="43"/>
      <c r="M68" s="129">
        <f>L68*(K68*IF($K$14="Aggressive",'Hidden Background Parameters'!$B$4,IF($K$14="Conservative",'Hidden Background Parameters'!$B$2,IF($K$14="normal",'Hidden Background Parameters'!$B$3,10000000000))))*IF($N$14="Parallel PSU",'Hidden Background Parameters'!$B$10,1)</f>
        <v>0</v>
      </c>
      <c r="N68" s="118"/>
      <c r="O68" s="150"/>
      <c r="Q68" s="309"/>
      <c r="R68" s="312"/>
      <c r="S68" s="312"/>
    </row>
    <row r="69" spans="1:19" ht="14.65" thickBot="1">
      <c r="A69" s="172">
        <v>3</v>
      </c>
      <c r="B69" s="175" t="s">
        <v>158</v>
      </c>
      <c r="C69" s="112" t="s">
        <v>146</v>
      </c>
      <c r="D69" s="129">
        <v>0.08</v>
      </c>
      <c r="E69" s="129">
        <v>0.08</v>
      </c>
      <c r="F69" s="31"/>
      <c r="G69" s="135">
        <f t="shared" si="20"/>
        <v>0</v>
      </c>
      <c r="H69" s="305">
        <f t="shared" si="21"/>
        <v>0</v>
      </c>
      <c r="I69" s="84" t="s">
        <v>155</v>
      </c>
      <c r="J69" s="112" t="s">
        <v>282</v>
      </c>
      <c r="K69" s="119">
        <v>2</v>
      </c>
      <c r="L69" s="43"/>
      <c r="M69" s="129">
        <f>L69*(K69*IF($K$14="Aggressive",'Hidden Background Parameters'!$B$4,IF($K$14="Conservative",'Hidden Background Parameters'!$B$2,IF($K$14="normal",'Hidden Background Parameters'!$B$3,10000000000))))*IF($N$14="Parallel PSU",'Hidden Background Parameters'!$B$10,1)</f>
        <v>0</v>
      </c>
      <c r="N69" s="118"/>
      <c r="O69" s="150"/>
      <c r="P69" s="85"/>
      <c r="Q69" s="309"/>
      <c r="R69" s="312"/>
      <c r="S69" s="312"/>
    </row>
    <row r="70" spans="1:19" ht="14.65" thickBot="1">
      <c r="A70" s="172">
        <v>3</v>
      </c>
      <c r="B70" s="175" t="s">
        <v>158</v>
      </c>
      <c r="C70" s="112" t="s">
        <v>90</v>
      </c>
      <c r="D70" s="100">
        <v>6.5000000000000002E-2</v>
      </c>
      <c r="E70" s="135">
        <v>0.12</v>
      </c>
      <c r="F70" s="31"/>
      <c r="G70" s="100">
        <f t="shared" si="20"/>
        <v>0</v>
      </c>
      <c r="H70" s="305">
        <f t="shared" si="21"/>
        <v>0</v>
      </c>
      <c r="I70" s="84" t="s">
        <v>155</v>
      </c>
      <c r="J70" s="112" t="s">
        <v>107</v>
      </c>
      <c r="K70" s="119">
        <v>1</v>
      </c>
      <c r="L70" s="43"/>
      <c r="M70" s="129">
        <f>L70*(K70*IF($K$14="Aggressive",'Hidden Background Parameters'!$B$4,IF($K$14="Conservative",'Hidden Background Parameters'!$B$2,IF($K$14="normal",'Hidden Background Parameters'!$B$3,10000000000))))*IF($N$14="Parallel PSU",'Hidden Background Parameters'!$B$10,1)</f>
        <v>0</v>
      </c>
      <c r="N70" s="118"/>
      <c r="O70" s="150"/>
      <c r="Q70" s="309"/>
      <c r="R70" s="312"/>
      <c r="S70" s="312"/>
    </row>
    <row r="71" spans="1:19" ht="14.65" thickBot="1">
      <c r="A71" s="172">
        <v>3</v>
      </c>
      <c r="B71" s="175" t="s">
        <v>158</v>
      </c>
      <c r="C71" s="112" t="s">
        <v>74</v>
      </c>
      <c r="D71" s="135">
        <v>0.09</v>
      </c>
      <c r="E71" s="129">
        <v>0.15</v>
      </c>
      <c r="F71" s="31"/>
      <c r="G71" s="135">
        <f t="shared" si="20"/>
        <v>0</v>
      </c>
      <c r="H71" s="305">
        <f t="shared" si="21"/>
        <v>0</v>
      </c>
      <c r="I71" s="84" t="s">
        <v>155</v>
      </c>
      <c r="J71" s="112" t="s">
        <v>286</v>
      </c>
      <c r="K71" s="119">
        <v>2</v>
      </c>
      <c r="L71" s="43"/>
      <c r="M71" s="129">
        <f>L71*(K71*IF($K$14="Aggressive",'Hidden Background Parameters'!$B$4,IF($K$14="Conservative",'Hidden Background Parameters'!$B$2,IF($K$14="normal",'Hidden Background Parameters'!$B$3,10000000000))))*IF($N$14="Parallel PSU",'Hidden Background Parameters'!$B$10,1)</f>
        <v>0</v>
      </c>
      <c r="N71" s="118"/>
      <c r="O71" s="150"/>
      <c r="Q71" s="309"/>
      <c r="R71" s="312"/>
      <c r="S71" s="312"/>
    </row>
    <row r="72" spans="1:19" ht="14.65" thickBot="1">
      <c r="A72" s="172">
        <v>3</v>
      </c>
      <c r="B72" s="175" t="s">
        <v>158</v>
      </c>
      <c r="C72" s="112" t="s">
        <v>178</v>
      </c>
      <c r="D72" s="129">
        <v>0.03</v>
      </c>
      <c r="E72" s="129">
        <v>0.03</v>
      </c>
      <c r="F72" s="31"/>
      <c r="G72" s="135">
        <f t="shared" si="20"/>
        <v>0</v>
      </c>
      <c r="H72" s="305">
        <f t="shared" si="21"/>
        <v>0</v>
      </c>
      <c r="I72" s="84" t="s">
        <v>155</v>
      </c>
      <c r="J72" s="112" t="s">
        <v>108</v>
      </c>
      <c r="K72" s="119">
        <v>2</v>
      </c>
      <c r="L72" s="43"/>
      <c r="M72" s="129">
        <f>L72*(K72*IF($K$14="Aggressive",'Hidden Background Parameters'!$B$4,IF($K$14="Conservative",'Hidden Background Parameters'!$B$2,IF($K$14="normal",'Hidden Background Parameters'!$B$3,10000000000))))*IF($N$14="Parallel PSU",'Hidden Background Parameters'!$B$10,1)</f>
        <v>0</v>
      </c>
      <c r="N72" s="118"/>
      <c r="O72" s="150"/>
      <c r="Q72" s="309"/>
      <c r="R72" s="312"/>
      <c r="S72" s="312"/>
    </row>
    <row r="73" spans="1:19" ht="14.65" thickBot="1">
      <c r="A73" s="172">
        <v>3</v>
      </c>
      <c r="B73" s="175" t="s">
        <v>158</v>
      </c>
      <c r="C73" s="112" t="s">
        <v>100</v>
      </c>
      <c r="D73" s="129">
        <v>0.05</v>
      </c>
      <c r="E73" s="129">
        <v>0.05</v>
      </c>
      <c r="F73" s="31"/>
      <c r="G73" s="135">
        <f t="shared" si="20"/>
        <v>0</v>
      </c>
      <c r="H73" s="305">
        <f t="shared" si="21"/>
        <v>0</v>
      </c>
      <c r="I73" s="84" t="s">
        <v>155</v>
      </c>
      <c r="J73" s="112" t="s">
        <v>313</v>
      </c>
      <c r="K73" s="119">
        <v>2</v>
      </c>
      <c r="L73" s="43"/>
      <c r="M73" s="129">
        <f>L73*(K73*IF($K$14="Aggressive",'Hidden Background Parameters'!$B$4,IF($K$14="Conservative",'Hidden Background Parameters'!$B$2,IF($K$14="normal",'Hidden Background Parameters'!$B$3,10000000000))))*IF($N$14="Parallel PSU",'Hidden Background Parameters'!$B$10,1)</f>
        <v>0</v>
      </c>
      <c r="N73" s="118"/>
      <c r="O73" s="150"/>
      <c r="Q73" s="309"/>
      <c r="R73" s="312"/>
      <c r="S73" s="312"/>
    </row>
    <row r="74" spans="1:19" ht="14.65" thickBot="1">
      <c r="A74" s="172">
        <v>3</v>
      </c>
      <c r="B74" s="175" t="s">
        <v>158</v>
      </c>
      <c r="C74" s="112" t="s">
        <v>132</v>
      </c>
      <c r="D74" s="100">
        <v>1.4999999999999999E-2</v>
      </c>
      <c r="E74" s="100">
        <v>2.5000000000000001E-2</v>
      </c>
      <c r="F74" s="31"/>
      <c r="G74" s="100">
        <f t="shared" si="20"/>
        <v>0</v>
      </c>
      <c r="H74" s="101">
        <f t="shared" si="21"/>
        <v>0</v>
      </c>
      <c r="I74" s="84" t="s">
        <v>155</v>
      </c>
      <c r="J74" s="112" t="s">
        <v>114</v>
      </c>
      <c r="K74" s="119">
        <v>0</v>
      </c>
      <c r="L74" s="43"/>
      <c r="M74" s="129">
        <f>L74*(K74*IF($K$14="Aggressive",'Hidden Background Parameters'!$B$4,IF($K$14="Conservative",'Hidden Background Parameters'!$B$2,IF($K$14="normal",'Hidden Background Parameters'!$B$3,10000000000))))*IF($N$14="Parallel PSU",'Hidden Background Parameters'!$B$10,1)</f>
        <v>0</v>
      </c>
      <c r="N74" s="118" t="s">
        <v>200</v>
      </c>
      <c r="O74" s="150"/>
      <c r="Q74" s="309"/>
      <c r="R74" s="312"/>
      <c r="S74" s="312"/>
    </row>
    <row r="75" spans="1:19" ht="14.65" thickBot="1">
      <c r="B75" s="175" t="s">
        <v>158</v>
      </c>
      <c r="C75" s="112" t="s">
        <v>176</v>
      </c>
      <c r="D75" s="129">
        <v>0.03</v>
      </c>
      <c r="E75" s="129">
        <v>0.03</v>
      </c>
      <c r="F75" s="31"/>
      <c r="G75" s="135">
        <f t="shared" si="20"/>
        <v>0</v>
      </c>
      <c r="H75" s="305">
        <f t="shared" si="21"/>
        <v>0</v>
      </c>
      <c r="I75" s="84" t="s">
        <v>155</v>
      </c>
      <c r="J75" s="112" t="s">
        <v>128</v>
      </c>
      <c r="K75" s="119">
        <v>1</v>
      </c>
      <c r="L75" s="43"/>
      <c r="M75" s="129">
        <f>L75*(K75*IF($K$14="Aggressive",'Hidden Background Parameters'!$B$4,IF($K$14="Conservative",'Hidden Background Parameters'!$B$2,IF($K$14="normal",'Hidden Background Parameters'!$B$3,10000000000))))*IF($N$14="Parallel PSU",'Hidden Background Parameters'!$B$10,1)</f>
        <v>0</v>
      </c>
      <c r="N75" s="118"/>
      <c r="O75" s="150"/>
      <c r="Q75" s="309"/>
      <c r="R75" s="312"/>
      <c r="S75" s="312"/>
    </row>
    <row r="76" spans="1:19" ht="14.65" thickBot="1">
      <c r="A76" s="172">
        <v>2.5</v>
      </c>
      <c r="B76" s="175" t="s">
        <v>155</v>
      </c>
      <c r="C76" s="113" t="s">
        <v>249</v>
      </c>
      <c r="D76" s="92"/>
      <c r="E76" s="92"/>
      <c r="F76" s="92"/>
      <c r="G76" s="92"/>
      <c r="H76" s="102"/>
      <c r="I76" s="84" t="s">
        <v>155</v>
      </c>
      <c r="J76" s="112" t="s">
        <v>124</v>
      </c>
      <c r="K76" s="119">
        <f>IF($K$63="per Channel",0.8,2)</f>
        <v>2</v>
      </c>
      <c r="L76" s="43"/>
      <c r="M76" s="129">
        <f>L76*(K76*IF($K$14="Aggressive",'Hidden Background Parameters'!$B$4,IF($K$14="Conservative",'Hidden Background Parameters'!$B$2,IF($K$14="normal",'Hidden Background Parameters'!$B$3,10000000000))))*IF($N$14="Parallel PSU",'Hidden Background Parameters'!$B$10,1)</f>
        <v>0</v>
      </c>
      <c r="N76" s="118"/>
      <c r="O76" s="150"/>
      <c r="Q76" s="309"/>
      <c r="R76" s="312"/>
      <c r="S76" s="312"/>
    </row>
    <row r="77" spans="1:19" ht="14.65" thickBot="1">
      <c r="A77" s="172">
        <v>2.5</v>
      </c>
      <c r="B77" s="174" t="s">
        <v>155</v>
      </c>
      <c r="C77" s="112" t="s">
        <v>205</v>
      </c>
      <c r="D77" s="107">
        <v>2.5000000000000001E-2</v>
      </c>
      <c r="E77" s="129">
        <v>0.05</v>
      </c>
      <c r="F77" s="31"/>
      <c r="G77" s="100">
        <f>F77*D77</f>
        <v>0</v>
      </c>
      <c r="H77" s="305">
        <f>E77*F77</f>
        <v>0</v>
      </c>
      <c r="I77" s="84" t="s">
        <v>155</v>
      </c>
      <c r="J77" s="112" t="s">
        <v>125</v>
      </c>
      <c r="K77" s="119">
        <v>2</v>
      </c>
      <c r="L77" s="43"/>
      <c r="M77" s="129">
        <f>L77*(K77*IF($K$14="Aggressive",'Hidden Background Parameters'!$B$4,IF($K$14="Conservative",'Hidden Background Parameters'!$B$2,IF($K$14="normal",'Hidden Background Parameters'!$B$3,10000000000))))*IF($N$14="Parallel PSU",'Hidden Background Parameters'!$B$10,1)</f>
        <v>0</v>
      </c>
      <c r="N77" s="118"/>
      <c r="O77" s="150"/>
      <c r="Q77" s="309"/>
      <c r="R77" s="312"/>
      <c r="S77" s="312"/>
    </row>
    <row r="78" spans="1:19" ht="14.65" thickBot="1">
      <c r="A78" s="172">
        <v>2.5</v>
      </c>
      <c r="B78" s="175" t="s">
        <v>155</v>
      </c>
      <c r="C78" s="112" t="s">
        <v>58</v>
      </c>
      <c r="D78" s="100">
        <v>2.5000000000000001E-2</v>
      </c>
      <c r="E78" s="129">
        <v>0.05</v>
      </c>
      <c r="F78" s="31"/>
      <c r="G78" s="100">
        <f>F78*D78</f>
        <v>0</v>
      </c>
      <c r="H78" s="305">
        <f>E78*F78</f>
        <v>0</v>
      </c>
      <c r="I78" s="84" t="s">
        <v>155</v>
      </c>
      <c r="J78" s="112" t="s">
        <v>96</v>
      </c>
      <c r="K78" s="145">
        <f>IF($K$63="per Channel",1,2)</f>
        <v>2</v>
      </c>
      <c r="L78" s="43"/>
      <c r="M78" s="129">
        <f>L78*(K78*IF($K$14="Aggressive",'Hidden Background Parameters'!$B$4,IF($K$14="Conservative",'Hidden Background Parameters'!$B$2,IF($K$14="normal",'Hidden Background Parameters'!$B$3,10000000000))))*IF($N$14="Parallel PSU",'Hidden Background Parameters'!$B$10,1)</f>
        <v>0</v>
      </c>
      <c r="N78" s="149" t="s">
        <v>188</v>
      </c>
      <c r="O78" s="151"/>
      <c r="Q78" s="309"/>
      <c r="R78" s="312"/>
      <c r="S78" s="312"/>
    </row>
    <row r="79" spans="1:19" ht="14.65" thickBot="1">
      <c r="A79" s="172">
        <v>2.5</v>
      </c>
      <c r="B79" s="175" t="s">
        <v>155</v>
      </c>
      <c r="C79" s="112" t="s">
        <v>137</v>
      </c>
      <c r="D79" s="107">
        <v>3.5000000000000003E-2</v>
      </c>
      <c r="E79" s="129">
        <v>0.06</v>
      </c>
      <c r="F79" s="31"/>
      <c r="G79" s="100">
        <f>F79*D79</f>
        <v>0</v>
      </c>
      <c r="H79" s="305">
        <f>E79*F79</f>
        <v>0</v>
      </c>
      <c r="J79" s="112" t="s">
        <v>289</v>
      </c>
      <c r="K79" s="119">
        <v>2</v>
      </c>
      <c r="L79" s="43"/>
      <c r="M79" s="129">
        <f>L79*(K79*IF($K$14="Aggressive",'Hidden Background Parameters'!$B$4,IF($K$14="Conservative",'Hidden Background Parameters'!$B$2,IF($K$14="normal",'Hidden Background Parameters'!$B$3,10000000000))))*IF($N$14="Parallel PSU",'Hidden Background Parameters'!$B$10,1)</f>
        <v>0</v>
      </c>
      <c r="N79" s="118"/>
      <c r="O79" s="150"/>
      <c r="Q79" s="309"/>
      <c r="R79" s="312"/>
      <c r="S79" s="312"/>
    </row>
    <row r="80" spans="1:19" ht="14.65" thickBot="1">
      <c r="B80" s="175" t="s">
        <v>155</v>
      </c>
      <c r="C80" s="112" t="s">
        <v>97</v>
      </c>
      <c r="D80" s="100">
        <v>2.5000000000000001E-2</v>
      </c>
      <c r="E80" s="107">
        <v>2.5000000000000001E-2</v>
      </c>
      <c r="F80" s="31"/>
      <c r="G80" s="100">
        <f>F80*D80</f>
        <v>0</v>
      </c>
      <c r="H80" s="101">
        <f>E80*F80</f>
        <v>0</v>
      </c>
      <c r="I80" s="172" t="s">
        <v>156</v>
      </c>
      <c r="J80" s="112" t="s">
        <v>109</v>
      </c>
      <c r="K80" s="119">
        <v>2</v>
      </c>
      <c r="L80" s="43"/>
      <c r="M80" s="129">
        <f>L80*(K80*IF($K$14="Aggressive",'Hidden Background Parameters'!$B$4,IF($K$14="Conservative",'Hidden Background Parameters'!$B$2,IF($K$14="normal",'Hidden Background Parameters'!$B$3,10000000000))))*IF($N$14="Parallel PSU",'Hidden Background Parameters'!$B$10,1)</f>
        <v>0</v>
      </c>
      <c r="N80" s="118"/>
      <c r="O80" s="150"/>
      <c r="Q80" s="309"/>
      <c r="R80" s="312"/>
      <c r="S80" s="312"/>
    </row>
    <row r="81" spans="1:19" ht="14.65" thickBot="1">
      <c r="A81" s="172">
        <v>2</v>
      </c>
      <c r="B81" s="175" t="s">
        <v>155</v>
      </c>
      <c r="C81" s="113" t="s">
        <v>248</v>
      </c>
      <c r="D81" s="92"/>
      <c r="E81" s="92"/>
      <c r="F81" s="92"/>
      <c r="G81" s="92"/>
      <c r="H81" s="102"/>
      <c r="I81" s="172" t="s">
        <v>156</v>
      </c>
      <c r="J81" s="109" t="s">
        <v>156</v>
      </c>
      <c r="K81" s="91"/>
      <c r="L81" s="92"/>
      <c r="M81" s="91"/>
      <c r="N81" s="91"/>
      <c r="O81" s="102"/>
      <c r="Q81" s="309"/>
      <c r="R81" s="312"/>
      <c r="S81" s="312"/>
    </row>
    <row r="82" spans="1:19" ht="14.65" thickBot="1">
      <c r="A82" s="172">
        <v>2</v>
      </c>
      <c r="B82" s="175" t="s">
        <v>155</v>
      </c>
      <c r="C82" s="112" t="s">
        <v>161</v>
      </c>
      <c r="D82" s="107">
        <v>1.7999999999999999E-2</v>
      </c>
      <c r="E82" s="107">
        <v>1.7999999999999999E-2</v>
      </c>
      <c r="F82" s="31"/>
      <c r="G82" s="100">
        <f t="shared" ref="G82" si="22">F82*D82</f>
        <v>0</v>
      </c>
      <c r="H82" s="101">
        <f t="shared" ref="H82" si="23">E82*F82</f>
        <v>0</v>
      </c>
      <c r="J82" s="112" t="s">
        <v>270</v>
      </c>
      <c r="K82" s="119">
        <v>0.4</v>
      </c>
      <c r="L82" s="43"/>
      <c r="M82" s="129">
        <f>L82*(K82*IF($K$14="Aggressive",'Hidden Background Parameters'!$C$4,IF($K$14="Conservative",'Hidden Background Parameters'!$C$2,IF($K$14="normal",'Hidden Background Parameters'!$C$3,10000000000))))</f>
        <v>0</v>
      </c>
      <c r="N82" s="118"/>
      <c r="O82" s="150"/>
      <c r="Q82" s="309"/>
      <c r="R82" s="312"/>
      <c r="S82" s="312"/>
    </row>
    <row r="83" spans="1:19" ht="14.65" thickBot="1">
      <c r="A83" s="197">
        <v>2</v>
      </c>
      <c r="B83" s="175" t="s">
        <v>155</v>
      </c>
      <c r="C83" s="112" t="s">
        <v>130</v>
      </c>
      <c r="D83" s="129">
        <v>0.12</v>
      </c>
      <c r="E83" s="129">
        <v>0.15</v>
      </c>
      <c r="F83" s="31"/>
      <c r="G83" s="135">
        <f t="shared" ref="G83:G96" si="24">F83*D83</f>
        <v>0</v>
      </c>
      <c r="H83" s="305">
        <f t="shared" ref="H83:H96" si="25">E83*F83</f>
        <v>0</v>
      </c>
      <c r="I83" s="84"/>
      <c r="J83" s="112" t="s">
        <v>153</v>
      </c>
      <c r="K83" s="119">
        <v>0.4</v>
      </c>
      <c r="L83" s="43"/>
      <c r="M83" s="129">
        <f>L83*(K83*IF($K$14="Aggressive",'Hidden Background Parameters'!$C$4,IF($K$14="Conservative",'Hidden Background Parameters'!$C$2,IF($K$14="normal",'Hidden Background Parameters'!$C$3,10000000000))))</f>
        <v>0</v>
      </c>
      <c r="N83" s="118"/>
      <c r="O83" s="150"/>
      <c r="Q83" s="309"/>
      <c r="R83" s="312"/>
      <c r="S83" s="312"/>
    </row>
    <row r="84" spans="1:19" ht="14.65" thickBot="1">
      <c r="A84" s="172">
        <v>2</v>
      </c>
      <c r="B84" s="175" t="s">
        <v>155</v>
      </c>
      <c r="C84" s="112" t="s">
        <v>225</v>
      </c>
      <c r="D84" s="129">
        <v>0.04</v>
      </c>
      <c r="E84" s="129">
        <v>0.04</v>
      </c>
      <c r="F84" s="31"/>
      <c r="G84" s="135">
        <f t="shared" si="24"/>
        <v>0</v>
      </c>
      <c r="H84" s="305">
        <f t="shared" si="25"/>
        <v>0</v>
      </c>
      <c r="I84" s="84"/>
      <c r="J84" s="138"/>
      <c r="K84" s="121"/>
      <c r="L84" s="92"/>
      <c r="M84" s="91"/>
      <c r="N84" s="91"/>
      <c r="O84" s="93"/>
      <c r="Q84" s="309"/>
      <c r="R84" s="312"/>
      <c r="S84" s="312"/>
    </row>
    <row r="85" spans="1:19" ht="14.65" thickBot="1">
      <c r="A85" s="172">
        <v>2</v>
      </c>
      <c r="B85" s="175" t="s">
        <v>155</v>
      </c>
      <c r="C85" s="112" t="s">
        <v>141</v>
      </c>
      <c r="D85" s="107">
        <v>1.2E-2</v>
      </c>
      <c r="E85" s="129">
        <v>0.04</v>
      </c>
      <c r="F85" s="31"/>
      <c r="G85" s="100">
        <f t="shared" si="24"/>
        <v>0</v>
      </c>
      <c r="H85" s="305">
        <f t="shared" si="25"/>
        <v>0</v>
      </c>
      <c r="I85" s="84" t="s">
        <v>157</v>
      </c>
      <c r="J85" s="113" t="s">
        <v>199</v>
      </c>
      <c r="K85" s="121"/>
      <c r="L85" s="92"/>
      <c r="M85" s="91"/>
      <c r="N85" s="91"/>
      <c r="O85" s="93"/>
      <c r="Q85" s="309"/>
      <c r="R85" s="312"/>
      <c r="S85" s="312"/>
    </row>
    <row r="86" spans="1:19" ht="14.65" thickBot="1">
      <c r="A86" s="172">
        <v>2</v>
      </c>
      <c r="B86" s="175" t="s">
        <v>155</v>
      </c>
      <c r="C86" s="112" t="s">
        <v>142</v>
      </c>
      <c r="D86" s="107">
        <v>2.5000000000000001E-2</v>
      </c>
      <c r="E86" s="129">
        <v>0.06</v>
      </c>
      <c r="F86" s="31"/>
      <c r="G86" s="100">
        <f t="shared" si="24"/>
        <v>0</v>
      </c>
      <c r="H86" s="305">
        <f t="shared" si="25"/>
        <v>0</v>
      </c>
      <c r="I86" s="84" t="s">
        <v>157</v>
      </c>
      <c r="J86" s="113" t="s">
        <v>191</v>
      </c>
      <c r="K86" s="121"/>
      <c r="L86" s="92"/>
      <c r="M86" s="91"/>
      <c r="N86" s="91"/>
      <c r="O86" s="102"/>
      <c r="Q86" s="309"/>
      <c r="R86" s="312"/>
      <c r="S86" s="312"/>
    </row>
    <row r="87" spans="1:19" ht="14.65" thickBot="1">
      <c r="A87" s="172">
        <v>2</v>
      </c>
      <c r="B87" s="175" t="s">
        <v>155</v>
      </c>
      <c r="C87" s="112" t="s">
        <v>290</v>
      </c>
      <c r="D87" s="129">
        <v>0.05</v>
      </c>
      <c r="E87" s="129">
        <v>0.05</v>
      </c>
      <c r="F87" s="31"/>
      <c r="G87" s="135">
        <f t="shared" si="24"/>
        <v>0</v>
      </c>
      <c r="H87" s="305">
        <f t="shared" si="25"/>
        <v>0</v>
      </c>
      <c r="I87" s="84" t="s">
        <v>157</v>
      </c>
      <c r="J87" s="112" t="s">
        <v>120</v>
      </c>
      <c r="K87" s="119">
        <v>2</v>
      </c>
      <c r="L87" s="43"/>
      <c r="M87" s="129">
        <f>L87*(K87*IF($K$14="Aggressive",'Hidden Background Parameters'!$B$4,IF($K$14="Conservative",'Hidden Background Parameters'!$B$2,IF($K$14="normal",'Hidden Background Parameters'!$B$3,10000000000))))*IF($N$14="Parallel PSU",'Hidden Background Parameters'!$B$10,1)</f>
        <v>0</v>
      </c>
      <c r="N87" s="118"/>
      <c r="O87" s="150"/>
      <c r="Q87" s="309"/>
      <c r="R87" s="312"/>
      <c r="S87" s="312"/>
    </row>
    <row r="88" spans="1:19" ht="14.65" thickBot="1">
      <c r="A88" s="172">
        <v>2</v>
      </c>
      <c r="B88" s="175" t="s">
        <v>155</v>
      </c>
      <c r="C88" s="112" t="s">
        <v>214</v>
      </c>
      <c r="D88" s="135">
        <v>0.02</v>
      </c>
      <c r="E88" s="129">
        <v>0.1</v>
      </c>
      <c r="F88" s="31"/>
      <c r="G88" s="135">
        <f t="shared" si="24"/>
        <v>0</v>
      </c>
      <c r="H88" s="305">
        <f t="shared" si="25"/>
        <v>0</v>
      </c>
      <c r="I88" s="84" t="s">
        <v>157</v>
      </c>
      <c r="J88" s="112" t="s">
        <v>121</v>
      </c>
      <c r="K88" s="119">
        <v>2</v>
      </c>
      <c r="L88" s="43"/>
      <c r="M88" s="129">
        <f>L88*(K88*IF($K$14="Aggressive",'Hidden Background Parameters'!$B$4,IF($K$14="Conservative",'Hidden Background Parameters'!$B$2,IF($K$14="normal",'Hidden Background Parameters'!$B$3,10000000000))))*IF($N$14="Parallel PSU",'Hidden Background Parameters'!$B$10,1)</f>
        <v>0</v>
      </c>
      <c r="N88" s="118"/>
      <c r="O88" s="150"/>
      <c r="Q88" s="309"/>
      <c r="R88" s="312"/>
      <c r="S88" s="312"/>
    </row>
    <row r="89" spans="1:19" ht="14.65" thickBot="1">
      <c r="A89" s="172">
        <v>2</v>
      </c>
      <c r="B89" s="175" t="s">
        <v>155</v>
      </c>
      <c r="C89" s="112" t="s">
        <v>89</v>
      </c>
      <c r="D89" s="135">
        <v>0.02</v>
      </c>
      <c r="E89" s="129">
        <v>0.1</v>
      </c>
      <c r="F89" s="31"/>
      <c r="G89" s="135">
        <f t="shared" si="24"/>
        <v>0</v>
      </c>
      <c r="H89" s="305">
        <f t="shared" si="25"/>
        <v>0</v>
      </c>
      <c r="I89" s="84" t="s">
        <v>157</v>
      </c>
      <c r="J89" s="112" t="s">
        <v>127</v>
      </c>
      <c r="K89" s="119">
        <v>0.6</v>
      </c>
      <c r="L89" s="43"/>
      <c r="M89" s="129">
        <f>L89*(K89*IF($K$14="Aggressive",'Hidden Background Parameters'!$B$4,IF($K$14="Conservative",'Hidden Background Parameters'!$B$2,IF($K$14="normal",'Hidden Background Parameters'!$B$3,10000000000))))*IF($N$14="Parallel PSU",'Hidden Background Parameters'!$B$10,1)</f>
        <v>0</v>
      </c>
      <c r="N89" s="118"/>
      <c r="O89" s="150"/>
      <c r="Q89" s="309"/>
      <c r="R89" s="312"/>
      <c r="S89" s="312"/>
    </row>
    <row r="90" spans="1:19" ht="14.65" thickBot="1">
      <c r="A90" s="172">
        <v>2</v>
      </c>
      <c r="B90" s="175" t="s">
        <v>155</v>
      </c>
      <c r="C90" s="112" t="s">
        <v>77</v>
      </c>
      <c r="D90" s="135">
        <v>0.02</v>
      </c>
      <c r="E90" s="129">
        <v>0.1</v>
      </c>
      <c r="F90" s="31"/>
      <c r="G90" s="135">
        <f t="shared" si="24"/>
        <v>0</v>
      </c>
      <c r="H90" s="305">
        <f t="shared" si="25"/>
        <v>0</v>
      </c>
      <c r="I90" s="84" t="s">
        <v>157</v>
      </c>
      <c r="J90" s="112" t="s">
        <v>122</v>
      </c>
      <c r="K90" s="119">
        <v>2</v>
      </c>
      <c r="L90" s="43"/>
      <c r="M90" s="129">
        <f>L90*(K90*IF($K$14="Aggressive",'Hidden Background Parameters'!$B$4,IF($K$14="Conservative",'Hidden Background Parameters'!$B$2,IF($K$14="normal",'Hidden Background Parameters'!$B$3,10000000000))))*IF($N$14="Parallel PSU",'Hidden Background Parameters'!$B$10,1)</f>
        <v>0</v>
      </c>
      <c r="N90" s="118"/>
      <c r="O90" s="150"/>
      <c r="Q90" s="309"/>
      <c r="R90" s="312"/>
      <c r="S90" s="312"/>
    </row>
    <row r="91" spans="1:19" ht="14.65" thickBot="1">
      <c r="A91" s="172">
        <v>2</v>
      </c>
      <c r="B91" s="175" t="s">
        <v>155</v>
      </c>
      <c r="C91" s="112" t="s">
        <v>78</v>
      </c>
      <c r="D91" s="135">
        <v>0.02</v>
      </c>
      <c r="E91" s="129">
        <v>0.1</v>
      </c>
      <c r="F91" s="31"/>
      <c r="G91" s="135">
        <f t="shared" si="24"/>
        <v>0</v>
      </c>
      <c r="H91" s="305">
        <f t="shared" si="25"/>
        <v>0</v>
      </c>
      <c r="J91" s="112" t="s">
        <v>118</v>
      </c>
      <c r="K91" s="129">
        <v>0</v>
      </c>
      <c r="L91" s="43"/>
      <c r="M91" s="129">
        <f>L91*(K91*IF($K$14="Aggressive",'Hidden Background Parameters'!$B$4,IF($K$14="Conservative",'Hidden Background Parameters'!$B$2,IF($K$14="normal",'Hidden Background Parameters'!$B$3,10000000000))))*IF($N$14="Parallel PSU",'Hidden Background Parameters'!$B$10,1)</f>
        <v>0</v>
      </c>
      <c r="N91" s="118" t="s">
        <v>200</v>
      </c>
      <c r="O91" s="93"/>
      <c r="Q91" s="309"/>
      <c r="R91" s="312"/>
      <c r="S91" s="312"/>
    </row>
    <row r="92" spans="1:19" ht="14.65" thickBot="1">
      <c r="A92" s="172">
        <v>2</v>
      </c>
      <c r="B92" s="175" t="s">
        <v>155</v>
      </c>
      <c r="C92" s="112" t="s">
        <v>129</v>
      </c>
      <c r="D92" s="135">
        <v>0.14000000000000001</v>
      </c>
      <c r="E92" s="135">
        <v>0.18</v>
      </c>
      <c r="F92" s="31"/>
      <c r="G92" s="135">
        <f t="shared" si="24"/>
        <v>0</v>
      </c>
      <c r="H92" s="305">
        <f t="shared" si="25"/>
        <v>0</v>
      </c>
      <c r="J92" s="112" t="s">
        <v>119</v>
      </c>
      <c r="K92" s="129">
        <v>0</v>
      </c>
      <c r="L92" s="43"/>
      <c r="M92" s="129">
        <f>L92*(K92*IF($K$14="Aggressive",'Hidden Background Parameters'!$B$4,IF($K$14="Conservative",'Hidden Background Parameters'!$B$2,IF($K$14="normal",'Hidden Background Parameters'!$B$3,10000000000))))*IF($N$14="Parallel PSU",'Hidden Background Parameters'!$B$10,1)</f>
        <v>0</v>
      </c>
      <c r="N92" s="118" t="s">
        <v>200</v>
      </c>
      <c r="O92" s="93"/>
      <c r="Q92" s="309"/>
      <c r="R92" s="312"/>
      <c r="S92" s="312"/>
    </row>
    <row r="93" spans="1:19" ht="14.65" thickBot="1">
      <c r="A93" s="172">
        <v>2</v>
      </c>
      <c r="B93" s="175" t="s">
        <v>155</v>
      </c>
      <c r="C93" s="112" t="s">
        <v>215</v>
      </c>
      <c r="D93" s="100">
        <v>0.01</v>
      </c>
      <c r="E93" s="100">
        <v>5.5E-2</v>
      </c>
      <c r="F93" s="31"/>
      <c r="G93" s="100">
        <f t="shared" si="24"/>
        <v>0</v>
      </c>
      <c r="H93" s="101">
        <f t="shared" si="25"/>
        <v>0</v>
      </c>
      <c r="J93" s="138"/>
      <c r="K93" s="121"/>
      <c r="L93" s="92"/>
      <c r="M93" s="91"/>
      <c r="N93" s="91"/>
      <c r="O93" s="93"/>
      <c r="Q93" s="309"/>
      <c r="R93" s="312"/>
      <c r="S93" s="312"/>
    </row>
    <row r="94" spans="1:19" ht="14.65" thickBot="1">
      <c r="A94" s="172">
        <v>2</v>
      </c>
      <c r="B94" s="175" t="s">
        <v>155</v>
      </c>
      <c r="C94" s="112" t="s">
        <v>216</v>
      </c>
      <c r="D94" s="100">
        <v>0.01</v>
      </c>
      <c r="E94" s="100">
        <v>5.5E-2</v>
      </c>
      <c r="F94" s="31"/>
      <c r="G94" s="100">
        <f t="shared" si="24"/>
        <v>0</v>
      </c>
      <c r="H94" s="101">
        <f t="shared" si="25"/>
        <v>0</v>
      </c>
      <c r="J94" s="113" t="s">
        <v>259</v>
      </c>
      <c r="K94" s="121"/>
      <c r="L94" s="92"/>
      <c r="M94" s="91"/>
      <c r="N94" s="118"/>
      <c r="O94" s="150"/>
      <c r="Q94" s="309"/>
      <c r="R94" s="312"/>
      <c r="S94" s="312"/>
    </row>
    <row r="95" spans="1:19" ht="14.65" thickBot="1">
      <c r="A95" s="172">
        <v>2</v>
      </c>
      <c r="B95" s="175" t="s">
        <v>155</v>
      </c>
      <c r="C95" s="112" t="s">
        <v>114</v>
      </c>
      <c r="D95" s="135">
        <v>0</v>
      </c>
      <c r="E95" s="135">
        <v>0</v>
      </c>
      <c r="F95" s="31"/>
      <c r="G95" s="135">
        <f t="shared" si="24"/>
        <v>0</v>
      </c>
      <c r="H95" s="305">
        <f t="shared" si="25"/>
        <v>0</v>
      </c>
      <c r="J95" s="179" t="s">
        <v>255</v>
      </c>
      <c r="K95" s="180">
        <v>0</v>
      </c>
      <c r="L95" s="43"/>
      <c r="M95" s="129">
        <f>L95*(K95*IF($K$14="Aggressive",'Hidden Background Parameters'!$B$4,IF($K$14="Conservative",'Hidden Background Parameters'!$B$2,IF($K$14="normal",'Hidden Background Parameters'!$B$3,10000000000))))*IF($N$14="Parallel PSU",'Hidden Background Parameters'!$B$10,1)</f>
        <v>0</v>
      </c>
      <c r="N95" s="118"/>
      <c r="O95" s="150"/>
      <c r="Q95" s="309"/>
      <c r="R95" s="312"/>
      <c r="S95" s="312"/>
    </row>
    <row r="96" spans="1:19" ht="14.65" thickBot="1">
      <c r="A96" s="172">
        <v>2</v>
      </c>
      <c r="B96" s="175" t="s">
        <v>155</v>
      </c>
      <c r="C96" s="112" t="s">
        <v>212</v>
      </c>
      <c r="D96" s="100">
        <v>5.0000000000000001E-3</v>
      </c>
      <c r="E96" s="100">
        <v>5.0000000000000001E-3</v>
      </c>
      <c r="F96" s="31"/>
      <c r="G96" s="100">
        <f t="shared" si="24"/>
        <v>0</v>
      </c>
      <c r="H96" s="101">
        <f t="shared" si="25"/>
        <v>0</v>
      </c>
      <c r="J96" s="179" t="s">
        <v>256</v>
      </c>
      <c r="K96" s="180">
        <v>0</v>
      </c>
      <c r="L96" s="43"/>
      <c r="M96" s="129">
        <f>L96*(K96*IF($K$14="Aggressive",'Hidden Background Parameters'!$B$4,IF($K$14="Conservative",'Hidden Background Parameters'!$B$2,IF($K$14="normal",'Hidden Background Parameters'!$B$3,10000000000))))*IF($N$14="Parallel PSU",'Hidden Background Parameters'!$B$10,1)</f>
        <v>0</v>
      </c>
      <c r="N96" s="118"/>
      <c r="O96" s="150"/>
      <c r="Q96" s="309"/>
      <c r="R96" s="312"/>
      <c r="S96" s="312"/>
    </row>
    <row r="97" spans="1:19" ht="14.65" thickBot="1">
      <c r="A97" s="172">
        <v>2</v>
      </c>
      <c r="B97" s="175" t="s">
        <v>155</v>
      </c>
      <c r="C97" s="112" t="s">
        <v>291</v>
      </c>
      <c r="D97" s="135">
        <v>0</v>
      </c>
      <c r="E97" s="135">
        <v>0</v>
      </c>
      <c r="F97" s="31"/>
      <c r="G97" s="135">
        <f t="shared" ref="G97:G99" si="26">F97*D97</f>
        <v>0</v>
      </c>
      <c r="H97" s="305">
        <f t="shared" ref="H97:H99" si="27">E97*F97</f>
        <v>0</v>
      </c>
      <c r="J97" s="179" t="s">
        <v>257</v>
      </c>
      <c r="K97" s="180">
        <v>0</v>
      </c>
      <c r="L97" s="43"/>
      <c r="M97" s="129">
        <f>L97*(K97*IF($K$14="Aggressive",'Hidden Background Parameters'!$B$4,IF($K$14="Conservative",'Hidden Background Parameters'!$B$2,IF($K$14="normal",'Hidden Background Parameters'!$B$3,10000000000))))*IF($N$14="Parallel PSU",'Hidden Background Parameters'!$B$10,1)</f>
        <v>0</v>
      </c>
      <c r="N97" s="118"/>
      <c r="O97" s="150"/>
      <c r="Q97" s="309" t="s">
        <v>382</v>
      </c>
      <c r="R97" s="313">
        <f>SUM(R26:R96)</f>
        <v>0</v>
      </c>
      <c r="S97" s="313">
        <f>SUM(S26:S96)</f>
        <v>0</v>
      </c>
    </row>
    <row r="98" spans="1:19" ht="14.65" thickBot="1">
      <c r="A98" s="172">
        <v>2</v>
      </c>
      <c r="B98" s="175" t="s">
        <v>155</v>
      </c>
      <c r="C98" s="112" t="s">
        <v>292</v>
      </c>
      <c r="D98" s="135">
        <v>0</v>
      </c>
      <c r="E98" s="135">
        <v>0</v>
      </c>
      <c r="F98" s="31"/>
      <c r="G98" s="135">
        <f t="shared" si="26"/>
        <v>0</v>
      </c>
      <c r="H98" s="305">
        <f t="shared" si="27"/>
        <v>0</v>
      </c>
      <c r="J98" s="94"/>
      <c r="K98" s="95"/>
      <c r="L98" s="96"/>
      <c r="M98" s="95"/>
      <c r="N98" s="95"/>
      <c r="O98" s="97"/>
      <c r="Q98" s="309" t="s">
        <v>383</v>
      </c>
      <c r="R98" s="314">
        <f>G130</f>
        <v>0</v>
      </c>
      <c r="S98" s="314">
        <f>H130</f>
        <v>0</v>
      </c>
    </row>
    <row r="99" spans="1:19" ht="14.65" thickBot="1">
      <c r="A99" s="172">
        <v>2</v>
      </c>
      <c r="B99" s="175" t="s">
        <v>155</v>
      </c>
      <c r="C99" s="112" t="s">
        <v>226</v>
      </c>
      <c r="D99" s="100">
        <v>5.0000000000000001E-3</v>
      </c>
      <c r="E99" s="100">
        <v>5.0000000000000001E-3</v>
      </c>
      <c r="F99" s="31"/>
      <c r="G99" s="100">
        <f t="shared" si="26"/>
        <v>0</v>
      </c>
      <c r="H99" s="101">
        <f t="shared" si="27"/>
        <v>0</v>
      </c>
    </row>
    <row r="100" spans="1:19" ht="18.399999999999999" thickBot="1">
      <c r="A100" s="172">
        <v>2</v>
      </c>
      <c r="B100" s="175" t="s">
        <v>155</v>
      </c>
      <c r="C100" s="112" t="s">
        <v>211</v>
      </c>
      <c r="D100" s="100">
        <v>1.2E-2</v>
      </c>
      <c r="E100" s="100">
        <v>5.7000000000000002E-2</v>
      </c>
      <c r="F100" s="31"/>
      <c r="G100" s="100">
        <f t="shared" ref="G100:G105" si="28">F100*D100</f>
        <v>0</v>
      </c>
      <c r="H100" s="101">
        <f t="shared" ref="H100:H105" si="29">E100*F100</f>
        <v>0</v>
      </c>
      <c r="J100" s="86" t="s">
        <v>395</v>
      </c>
      <c r="K100" s="87"/>
      <c r="L100" s="88"/>
      <c r="M100" s="87"/>
      <c r="N100" s="87"/>
      <c r="O100" s="89"/>
    </row>
    <row r="101" spans="1:19" ht="14.65" thickBot="1">
      <c r="A101" s="172">
        <v>2</v>
      </c>
      <c r="B101" s="175" t="s">
        <v>155</v>
      </c>
      <c r="C101" s="112" t="s">
        <v>56</v>
      </c>
      <c r="D101" s="100">
        <v>1.2E-2</v>
      </c>
      <c r="E101" s="100">
        <v>5.7000000000000002E-2</v>
      </c>
      <c r="F101" s="31"/>
      <c r="G101" s="100">
        <f t="shared" si="28"/>
        <v>0</v>
      </c>
      <c r="H101" s="101">
        <f t="shared" si="29"/>
        <v>0</v>
      </c>
      <c r="J101" s="297"/>
      <c r="K101" s="121"/>
      <c r="L101" s="121"/>
      <c r="M101" s="121"/>
      <c r="N101" s="121"/>
      <c r="O101" s="136"/>
    </row>
    <row r="102" spans="1:19" ht="16.149999999999999" thickBot="1">
      <c r="A102" s="172">
        <v>2</v>
      </c>
      <c r="B102" s="175" t="s">
        <v>155</v>
      </c>
      <c r="C102" s="112" t="s">
        <v>57</v>
      </c>
      <c r="D102" s="107">
        <v>1.4999999999999999E-2</v>
      </c>
      <c r="E102" s="129">
        <v>0.06</v>
      </c>
      <c r="F102" s="31"/>
      <c r="G102" s="100">
        <f t="shared" si="28"/>
        <v>0</v>
      </c>
      <c r="H102" s="305">
        <f t="shared" si="29"/>
        <v>0</v>
      </c>
      <c r="J102" s="148">
        <f>SUM(L26:L31,L37:L40,L50:L52,L64:L73,L87:L90,L75:L79,L95:L97,L55:L58)</f>
        <v>0</v>
      </c>
      <c r="K102" s="91"/>
      <c r="L102" s="291" t="s">
        <v>387</v>
      </c>
      <c r="M102" s="300">
        <f>SUM(M25:M97)</f>
        <v>0</v>
      </c>
      <c r="N102" s="265">
        <f>M102</f>
        <v>0</v>
      </c>
      <c r="O102" s="93"/>
    </row>
    <row r="103" spans="1:19" ht="16.149999999999999" thickBot="1">
      <c r="A103" s="172">
        <v>2</v>
      </c>
      <c r="B103" s="175" t="s">
        <v>155</v>
      </c>
      <c r="C103" s="112" t="s">
        <v>312</v>
      </c>
      <c r="D103" s="107">
        <v>2.7E-2</v>
      </c>
      <c r="E103" s="107">
        <v>2.7E-2</v>
      </c>
      <c r="F103" s="31"/>
      <c r="G103" s="100">
        <f t="shared" si="28"/>
        <v>0</v>
      </c>
      <c r="H103" s="101">
        <f t="shared" si="29"/>
        <v>0</v>
      </c>
      <c r="J103" s="90"/>
      <c r="K103" s="91"/>
      <c r="L103" s="291" t="s">
        <v>388</v>
      </c>
      <c r="M103" s="300">
        <f>H129</f>
        <v>0</v>
      </c>
      <c r="N103" s="91"/>
      <c r="O103" s="93"/>
    </row>
    <row r="104" spans="1:19" ht="16.149999999999999" thickBot="1">
      <c r="A104" s="172">
        <v>2</v>
      </c>
      <c r="B104" s="175" t="s">
        <v>155</v>
      </c>
      <c r="C104" s="112" t="s">
        <v>98</v>
      </c>
      <c r="D104" s="129">
        <v>0.02</v>
      </c>
      <c r="E104" s="129">
        <v>0.06</v>
      </c>
      <c r="F104" s="31"/>
      <c r="G104" s="135">
        <f t="shared" si="28"/>
        <v>0</v>
      </c>
      <c r="H104" s="305">
        <f t="shared" si="29"/>
        <v>0</v>
      </c>
      <c r="J104" s="90"/>
      <c r="K104" s="91"/>
      <c r="L104" s="291" t="str">
        <f>IF($M$104&gt;0,"Power Available", IF($M$104=0,"Walking the Line","Power Deficit"))</f>
        <v>Power Available</v>
      </c>
      <c r="M104" s="301" t="str">
        <f>IF($M$102=0,"Add Power Supplies",$M$102-$M$103)</f>
        <v>Add Power Supplies</v>
      </c>
      <c r="N104" s="91"/>
      <c r="O104" s="302" t="str">
        <f>IF($F$129=0,"Add User Stations",IF($M$104&lt;0,"Insufficient Power Available"," "))</f>
        <v>Add User Stations</v>
      </c>
    </row>
    <row r="105" spans="1:19" ht="15" customHeight="1" thickBot="1">
      <c r="A105" s="172">
        <v>2</v>
      </c>
      <c r="B105" s="175" t="s">
        <v>155</v>
      </c>
      <c r="C105" s="112" t="s">
        <v>217</v>
      </c>
      <c r="D105" s="129">
        <v>0.02</v>
      </c>
      <c r="E105" s="129">
        <v>0.06</v>
      </c>
      <c r="F105" s="31"/>
      <c r="G105" s="135">
        <f t="shared" si="28"/>
        <v>0</v>
      </c>
      <c r="H105" s="305">
        <f t="shared" si="29"/>
        <v>0</v>
      </c>
      <c r="J105" s="120"/>
      <c r="K105" s="121"/>
      <c r="L105" s="144"/>
      <c r="M105" s="121"/>
      <c r="N105" s="121"/>
      <c r="O105" s="136"/>
    </row>
    <row r="106" spans="1:19" ht="15.75" customHeight="1" thickBot="1">
      <c r="A106" s="172">
        <v>2</v>
      </c>
      <c r="B106" s="175" t="s">
        <v>155</v>
      </c>
      <c r="C106" s="112" t="s">
        <v>300</v>
      </c>
      <c r="D106" s="100">
        <v>2.5000000000000001E-2</v>
      </c>
      <c r="E106" s="135">
        <v>0.1</v>
      </c>
      <c r="F106" s="31"/>
      <c r="G106" s="135">
        <f t="shared" ref="G106:G107" si="30">F106*D106</f>
        <v>0</v>
      </c>
      <c r="H106" s="305">
        <f t="shared" ref="H106:H107" si="31">E106*F106</f>
        <v>0</v>
      </c>
      <c r="J106" s="120"/>
      <c r="K106" s="121"/>
      <c r="L106" s="144"/>
      <c r="M106" s="121"/>
      <c r="N106" s="121"/>
      <c r="O106" s="136"/>
    </row>
    <row r="107" spans="1:19" ht="16.5" customHeight="1" thickBot="1">
      <c r="A107" s="172">
        <v>2</v>
      </c>
      <c r="B107" s="175" t="s">
        <v>155</v>
      </c>
      <c r="C107" s="112" t="s">
        <v>92</v>
      </c>
      <c r="D107" s="129">
        <v>0.05</v>
      </c>
      <c r="E107" s="129">
        <v>0.15</v>
      </c>
      <c r="F107" s="31"/>
      <c r="G107" s="135">
        <f t="shared" si="30"/>
        <v>0</v>
      </c>
      <c r="H107" s="305">
        <f t="shared" si="31"/>
        <v>0</v>
      </c>
      <c r="J107" s="120"/>
      <c r="K107" s="121"/>
      <c r="L107" s="144"/>
      <c r="M107" s="121"/>
      <c r="N107" s="121"/>
      <c r="O107" s="136"/>
    </row>
    <row r="108" spans="1:19" ht="14.65" thickBot="1">
      <c r="A108" s="172">
        <v>2</v>
      </c>
      <c r="B108" s="175" t="s">
        <v>155</v>
      </c>
      <c r="C108" s="112" t="s">
        <v>301</v>
      </c>
      <c r="D108" s="100">
        <v>1.4999999999999999E-2</v>
      </c>
      <c r="E108" s="100">
        <v>1.4999999999999999E-2</v>
      </c>
      <c r="F108" s="31"/>
      <c r="G108" s="100">
        <f>F108*D108</f>
        <v>0</v>
      </c>
      <c r="H108" s="101">
        <f>E108*F108</f>
        <v>0</v>
      </c>
      <c r="J108" s="120"/>
      <c r="K108" s="121"/>
      <c r="L108" s="144"/>
      <c r="M108" s="121"/>
      <c r="N108" s="121"/>
      <c r="O108" s="136"/>
    </row>
    <row r="109" spans="1:19" ht="15.75" customHeight="1" thickBot="1">
      <c r="A109" s="172">
        <v>2</v>
      </c>
      <c r="B109" s="175" t="s">
        <v>155</v>
      </c>
      <c r="C109" s="112" t="s">
        <v>143</v>
      </c>
      <c r="D109" s="129">
        <v>0.05</v>
      </c>
      <c r="E109" s="129">
        <v>0.05</v>
      </c>
      <c r="F109" s="31"/>
      <c r="G109" s="135">
        <f>F109*D109</f>
        <v>0</v>
      </c>
      <c r="H109" s="305">
        <f>E109*F109</f>
        <v>0</v>
      </c>
      <c r="J109" s="120"/>
      <c r="K109" s="121"/>
      <c r="L109" s="144"/>
      <c r="M109" s="121"/>
      <c r="N109" s="121"/>
      <c r="O109" s="136"/>
    </row>
    <row r="110" spans="1:19" ht="14.65" thickBot="1">
      <c r="B110" s="175" t="s">
        <v>155</v>
      </c>
      <c r="C110" s="112" t="s">
        <v>151</v>
      </c>
      <c r="D110" s="100">
        <v>1.4999999999999999E-2</v>
      </c>
      <c r="E110" s="100">
        <v>2.5000000000000001E-2</v>
      </c>
      <c r="F110" s="31"/>
      <c r="G110" s="100">
        <f>F110*D110</f>
        <v>0</v>
      </c>
      <c r="H110" s="101">
        <f>E110*F110</f>
        <v>0</v>
      </c>
      <c r="J110" s="120"/>
      <c r="K110" s="121"/>
      <c r="L110" s="144"/>
      <c r="M110" s="121"/>
      <c r="N110" s="121"/>
      <c r="O110" s="136"/>
    </row>
    <row r="111" spans="1:19" ht="14.65" thickBot="1">
      <c r="A111" s="172">
        <v>1</v>
      </c>
      <c r="B111" s="175" t="s">
        <v>155</v>
      </c>
      <c r="C111" s="113" t="s">
        <v>247</v>
      </c>
      <c r="D111" s="92"/>
      <c r="E111" s="92"/>
      <c r="F111" s="92"/>
      <c r="G111" s="92"/>
      <c r="H111" s="102"/>
      <c r="J111" s="120"/>
      <c r="K111" s="121"/>
      <c r="L111" s="144"/>
      <c r="M111" s="121"/>
      <c r="N111" s="121"/>
      <c r="O111" s="136"/>
    </row>
    <row r="112" spans="1:19" ht="14.65" thickBot="1">
      <c r="A112" s="172">
        <v>1</v>
      </c>
      <c r="B112" s="175" t="s">
        <v>157</v>
      </c>
      <c r="C112" s="112" t="s">
        <v>99</v>
      </c>
      <c r="D112" s="107">
        <v>1.7999999999999999E-2</v>
      </c>
      <c r="E112" s="107">
        <v>1.7999999999999999E-2</v>
      </c>
      <c r="F112" s="31"/>
      <c r="G112" s="100">
        <f t="shared" ref="G112:G114" si="32">F112*D112</f>
        <v>0</v>
      </c>
      <c r="H112" s="101">
        <f t="shared" ref="H112:H114" si="33">E112*F112</f>
        <v>0</v>
      </c>
      <c r="J112" s="120"/>
      <c r="K112" s="121"/>
      <c r="L112" s="144"/>
      <c r="M112" s="121"/>
      <c r="N112" s="121"/>
      <c r="O112" s="136"/>
    </row>
    <row r="113" spans="1:15" ht="14.65" thickBot="1">
      <c r="A113" s="172">
        <v>1</v>
      </c>
      <c r="B113" s="175" t="s">
        <v>157</v>
      </c>
      <c r="C113" s="112" t="s">
        <v>213</v>
      </c>
      <c r="D113" s="129">
        <v>0</v>
      </c>
      <c r="E113" s="129">
        <v>0</v>
      </c>
      <c r="F113" s="31"/>
      <c r="G113" s="135">
        <f t="shared" si="32"/>
        <v>0</v>
      </c>
      <c r="H113" s="305">
        <f t="shared" si="33"/>
        <v>0</v>
      </c>
      <c r="J113" s="120"/>
      <c r="K113" s="121"/>
      <c r="L113" s="144"/>
      <c r="M113" s="121"/>
      <c r="N113" s="121"/>
      <c r="O113" s="136"/>
    </row>
    <row r="114" spans="1:15" ht="15.75" customHeight="1" thickBot="1">
      <c r="A114" s="172">
        <v>1</v>
      </c>
      <c r="B114" s="175" t="s">
        <v>157</v>
      </c>
      <c r="C114" s="112" t="s">
        <v>75</v>
      </c>
      <c r="D114" s="135">
        <v>0.02</v>
      </c>
      <c r="E114" s="129">
        <v>0.1</v>
      </c>
      <c r="F114" s="31"/>
      <c r="G114" s="135">
        <f t="shared" si="32"/>
        <v>0</v>
      </c>
      <c r="H114" s="305">
        <f t="shared" si="33"/>
        <v>0</v>
      </c>
      <c r="J114" s="120"/>
      <c r="K114" s="121"/>
      <c r="L114" s="144"/>
      <c r="M114" s="121"/>
      <c r="N114" s="121"/>
      <c r="O114" s="136"/>
    </row>
    <row r="115" spans="1:15" ht="14.65" thickBot="1">
      <c r="A115" s="172">
        <v>1</v>
      </c>
      <c r="B115" s="175" t="s">
        <v>157</v>
      </c>
      <c r="C115" s="112" t="s">
        <v>315</v>
      </c>
      <c r="D115" s="135">
        <v>0.02</v>
      </c>
      <c r="E115" s="129">
        <v>0.1</v>
      </c>
      <c r="F115" s="31"/>
      <c r="G115" s="135">
        <f t="shared" ref="G115" si="34">F115*D115</f>
        <v>0</v>
      </c>
      <c r="H115" s="305">
        <f t="shared" ref="H115" si="35">E115*F115</f>
        <v>0</v>
      </c>
      <c r="J115" s="120"/>
      <c r="K115" s="121"/>
      <c r="L115" s="144"/>
      <c r="M115" s="121"/>
      <c r="N115" s="121"/>
      <c r="O115" s="136"/>
    </row>
    <row r="116" spans="1:15" ht="14.65" thickBot="1">
      <c r="A116" s="172">
        <v>1</v>
      </c>
      <c r="B116" s="175" t="s">
        <v>157</v>
      </c>
      <c r="C116" s="112" t="s">
        <v>76</v>
      </c>
      <c r="D116" s="135">
        <v>0.02</v>
      </c>
      <c r="E116" s="129">
        <v>0.1</v>
      </c>
      <c r="F116" s="31"/>
      <c r="G116" s="135">
        <f t="shared" ref="G116:G123" si="36">F116*D116</f>
        <v>0</v>
      </c>
      <c r="H116" s="305">
        <f t="shared" ref="H116:H123" si="37">E116*F116</f>
        <v>0</v>
      </c>
      <c r="J116" s="120"/>
      <c r="K116" s="121"/>
      <c r="L116" s="144"/>
      <c r="M116" s="121"/>
      <c r="N116" s="121"/>
      <c r="O116" s="136"/>
    </row>
    <row r="117" spans="1:15" ht="15.75" customHeight="1" thickBot="1">
      <c r="A117" s="172">
        <v>1</v>
      </c>
      <c r="B117" s="175" t="s">
        <v>157</v>
      </c>
      <c r="C117" s="112" t="s">
        <v>81</v>
      </c>
      <c r="D117" s="135">
        <v>0.01</v>
      </c>
      <c r="E117" s="100">
        <v>5.5E-2</v>
      </c>
      <c r="F117" s="31"/>
      <c r="G117" s="135">
        <f t="shared" si="36"/>
        <v>0</v>
      </c>
      <c r="H117" s="305">
        <f t="shared" si="37"/>
        <v>0</v>
      </c>
      <c r="J117" s="120"/>
      <c r="K117" s="121"/>
      <c r="L117" s="144"/>
      <c r="M117" s="121"/>
      <c r="N117" s="121"/>
      <c r="O117" s="136"/>
    </row>
    <row r="118" spans="1:15" ht="14.65" thickBot="1">
      <c r="A118" s="172">
        <v>1</v>
      </c>
      <c r="B118" s="175" t="s">
        <v>157</v>
      </c>
      <c r="C118" s="112" t="s">
        <v>253</v>
      </c>
      <c r="D118" s="135">
        <v>0</v>
      </c>
      <c r="E118" s="135">
        <v>0</v>
      </c>
      <c r="F118" s="31"/>
      <c r="G118" s="135">
        <f t="shared" si="36"/>
        <v>0</v>
      </c>
      <c r="H118" s="305">
        <f t="shared" si="37"/>
        <v>0</v>
      </c>
      <c r="J118" s="120"/>
      <c r="K118" s="121"/>
      <c r="L118" s="144"/>
      <c r="M118" s="121"/>
      <c r="N118" s="121"/>
      <c r="O118" s="136"/>
    </row>
    <row r="119" spans="1:15" ht="14.65" thickBot="1">
      <c r="A119" s="172">
        <v>1</v>
      </c>
      <c r="B119" s="175" t="s">
        <v>157</v>
      </c>
      <c r="C119" s="112" t="s">
        <v>252</v>
      </c>
      <c r="D119" s="135">
        <v>0</v>
      </c>
      <c r="E119" s="135">
        <v>0</v>
      </c>
      <c r="F119" s="31"/>
      <c r="G119" s="135">
        <f t="shared" si="36"/>
        <v>0</v>
      </c>
      <c r="H119" s="305">
        <f t="shared" si="37"/>
        <v>0</v>
      </c>
      <c r="J119" s="120"/>
      <c r="K119" s="121"/>
      <c r="L119" s="144"/>
      <c r="M119" s="121"/>
      <c r="N119" s="121"/>
      <c r="O119" s="136"/>
    </row>
    <row r="120" spans="1:15" ht="14.65" thickBot="1">
      <c r="A120" s="172">
        <v>1</v>
      </c>
      <c r="B120" s="175" t="s">
        <v>157</v>
      </c>
      <c r="C120" s="112" t="s">
        <v>210</v>
      </c>
      <c r="D120" s="107">
        <v>7.0000000000000001E-3</v>
      </c>
      <c r="E120" s="107">
        <v>0.05</v>
      </c>
      <c r="F120" s="31"/>
      <c r="G120" s="100">
        <f t="shared" si="36"/>
        <v>0</v>
      </c>
      <c r="H120" s="101">
        <f t="shared" si="37"/>
        <v>0</v>
      </c>
      <c r="J120" s="120"/>
      <c r="K120" s="121"/>
      <c r="L120" s="144"/>
      <c r="M120" s="121"/>
      <c r="N120" s="121"/>
      <c r="O120" s="136"/>
    </row>
    <row r="121" spans="1:15" ht="16.149999999999999" thickBot="1">
      <c r="A121" s="172">
        <v>1</v>
      </c>
      <c r="B121" s="175" t="s">
        <v>157</v>
      </c>
      <c r="C121" s="112" t="s">
        <v>115</v>
      </c>
      <c r="D121" s="107">
        <v>7.0000000000000001E-3</v>
      </c>
      <c r="E121" s="107">
        <v>0.05</v>
      </c>
      <c r="F121" s="31"/>
      <c r="G121" s="100">
        <f t="shared" si="36"/>
        <v>0</v>
      </c>
      <c r="H121" s="101">
        <f t="shared" si="37"/>
        <v>0</v>
      </c>
      <c r="J121" s="115" t="s">
        <v>19</v>
      </c>
      <c r="K121" s="121"/>
      <c r="L121" s="121"/>
      <c r="M121" s="121"/>
      <c r="N121" s="121"/>
      <c r="O121" s="136"/>
    </row>
    <row r="122" spans="1:15" ht="14.65" thickBot="1">
      <c r="A122" s="172">
        <v>1</v>
      </c>
      <c r="B122" s="175" t="s">
        <v>157</v>
      </c>
      <c r="C122" s="112" t="s">
        <v>118</v>
      </c>
      <c r="D122" s="129">
        <v>0</v>
      </c>
      <c r="E122" s="129">
        <v>0</v>
      </c>
      <c r="F122" s="31"/>
      <c r="G122" s="135">
        <f t="shared" si="36"/>
        <v>0</v>
      </c>
      <c r="H122" s="305">
        <f t="shared" si="37"/>
        <v>0</v>
      </c>
      <c r="J122" s="122" t="str">
        <f>IF($L$25&gt;0,IF(H129&gt;'Hidden Background Parameters'!$B$7,"Check system layout if number of user station power draw per channel exceeds 1.2A",""),"")</f>
        <v/>
      </c>
      <c r="K122" s="91"/>
      <c r="L122" s="92"/>
      <c r="M122" s="91"/>
      <c r="N122" s="91"/>
      <c r="O122" s="93"/>
    </row>
    <row r="123" spans="1:15" ht="14.65" thickBot="1">
      <c r="B123" s="175" t="s">
        <v>157</v>
      </c>
      <c r="C123" s="112" t="s">
        <v>119</v>
      </c>
      <c r="D123" s="129">
        <v>0</v>
      </c>
      <c r="E123" s="129">
        <v>0</v>
      </c>
      <c r="F123" s="31"/>
      <c r="G123" s="135">
        <f t="shared" si="36"/>
        <v>0</v>
      </c>
      <c r="H123" s="305">
        <f t="shared" si="37"/>
        <v>0</v>
      </c>
      <c r="J123" s="122" t="str">
        <f>IF(M104&lt;0,"Insufficient power. Increase power supply size or consider sub-systems isolated with MT-701","")</f>
        <v/>
      </c>
      <c r="K123" s="121"/>
      <c r="L123" s="121"/>
      <c r="M123" s="121"/>
      <c r="N123" s="121"/>
      <c r="O123" s="136"/>
    </row>
    <row r="124" spans="1:15" ht="14.65" thickBot="1">
      <c r="B124" s="175"/>
      <c r="C124" s="113" t="s">
        <v>258</v>
      </c>
      <c r="D124" s="92"/>
      <c r="E124" s="92"/>
      <c r="F124" s="92"/>
      <c r="G124" s="92"/>
      <c r="H124" s="102"/>
      <c r="J124" s="122" t="str">
        <f>IF(AND($J$102&gt;1,$J$102&lt;=2),"Paralleled PSU should always share an AC ground to avoid hum.",IF($J$102&gt;2,"It is highly recommeneded splitting the system into isolated branches with MT-701s.",""))</f>
        <v/>
      </c>
      <c r="K124" s="121"/>
      <c r="L124" s="121"/>
      <c r="M124" s="121"/>
      <c r="N124" s="121"/>
      <c r="O124" s="136"/>
    </row>
    <row r="125" spans="1:15" ht="14.65" thickBot="1">
      <c r="B125" s="175"/>
      <c r="C125" s="179" t="s">
        <v>255</v>
      </c>
      <c r="D125" s="177">
        <v>0</v>
      </c>
      <c r="E125" s="177">
        <v>0</v>
      </c>
      <c r="F125" s="31"/>
      <c r="G125" s="304">
        <f>D125*F125</f>
        <v>0</v>
      </c>
      <c r="H125" s="101">
        <f>E125*F125</f>
        <v>0</v>
      </c>
      <c r="J125" s="116" t="str">
        <f>IF($L$44&gt;=1,IF($J$102&gt;1,"Do not combine PK/TWC with other power supplies. PK/TWC is a standalone PSU only.",""),"")</f>
        <v/>
      </c>
      <c r="K125" s="95"/>
      <c r="L125" s="95"/>
      <c r="M125" s="95"/>
      <c r="N125" s="95"/>
      <c r="O125" s="97"/>
    </row>
    <row r="126" spans="1:15" ht="14.65" thickBot="1">
      <c r="B126" s="175"/>
      <c r="C126" s="179" t="s">
        <v>256</v>
      </c>
      <c r="D126" s="177">
        <v>0</v>
      </c>
      <c r="E126" s="177">
        <v>0</v>
      </c>
      <c r="F126" s="31"/>
      <c r="G126" s="304">
        <f>D126*F126</f>
        <v>0</v>
      </c>
      <c r="H126" s="101">
        <f>E126*F126</f>
        <v>0</v>
      </c>
    </row>
    <row r="127" spans="1:15" ht="18.399999999999999" thickBot="1">
      <c r="B127" s="175"/>
      <c r="C127" s="179" t="s">
        <v>257</v>
      </c>
      <c r="D127" s="177">
        <v>0</v>
      </c>
      <c r="E127" s="177">
        <v>0</v>
      </c>
      <c r="F127" s="31"/>
      <c r="G127" s="304">
        <f>D127*F127</f>
        <v>0</v>
      </c>
      <c r="H127" s="101">
        <f>E127*F127</f>
        <v>0</v>
      </c>
      <c r="J127" s="86" t="s">
        <v>397</v>
      </c>
      <c r="K127" s="289"/>
      <c r="L127" s="289"/>
      <c r="M127" s="289"/>
      <c r="N127" s="289"/>
      <c r="O127" s="290"/>
    </row>
    <row r="128" spans="1:15">
      <c r="C128" s="90"/>
      <c r="D128" s="91"/>
      <c r="E128" s="91"/>
      <c r="F128" s="91"/>
      <c r="G128" s="92"/>
      <c r="H128" s="93"/>
      <c r="J128" s="90" t="s">
        <v>400</v>
      </c>
      <c r="K128" s="121"/>
      <c r="L128" s="121"/>
      <c r="M128" s="121"/>
      <c r="N128" s="121"/>
      <c r="O128" s="136"/>
    </row>
    <row r="129" spans="2:15" ht="14.65" thickBot="1">
      <c r="C129" s="90"/>
      <c r="D129" s="91"/>
      <c r="E129" s="114" t="s">
        <v>376</v>
      </c>
      <c r="F129" s="117">
        <f>SUM(F15:F123)</f>
        <v>0</v>
      </c>
      <c r="G129" s="307">
        <f>SUM(G15:G127)</f>
        <v>0</v>
      </c>
      <c r="H129" s="308">
        <f>SUM(H15:H127)</f>
        <v>0</v>
      </c>
      <c r="J129" s="120" t="s">
        <v>415</v>
      </c>
      <c r="K129" s="121"/>
      <c r="L129" s="291"/>
      <c r="M129" s="292" t="s">
        <v>389</v>
      </c>
      <c r="N129" s="292" t="s">
        <v>103</v>
      </c>
      <c r="O129" s="136"/>
    </row>
    <row r="130" spans="2:15" ht="15" thickTop="1" thickBot="1">
      <c r="C130" s="90"/>
      <c r="D130" s="91"/>
      <c r="E130" s="114" t="s">
        <v>377</v>
      </c>
      <c r="F130" s="91"/>
      <c r="G130" s="298">
        <f>G129*30</f>
        <v>0</v>
      </c>
      <c r="H130" s="299">
        <f>H129*30</f>
        <v>0</v>
      </c>
      <c r="J130" s="120"/>
      <c r="K130" s="121"/>
      <c r="L130" s="291" t="s">
        <v>386</v>
      </c>
      <c r="M130" s="303" t="str" cm="1">
        <f t="array" ref="M130">IF(OR($L$50:$L$97&gt;0,$R$97=0,$R$97&gt;100000),"N/A",(R97+R98))</f>
        <v>N/A</v>
      </c>
      <c r="N130" s="303" t="str" cm="1">
        <f t="array" ref="N130">IF(OR($L$50:$L$97&gt;0,$R$97=0,$R$97&gt;100000),"N/A",(S97+S98))</f>
        <v>N/A</v>
      </c>
      <c r="O130" s="136"/>
    </row>
    <row r="131" spans="2:15" ht="14.65" thickTop="1">
      <c r="B131" s="176"/>
      <c r="C131" s="90"/>
      <c r="D131" s="91"/>
      <c r="E131" s="91"/>
      <c r="F131" s="91"/>
      <c r="G131" s="91"/>
      <c r="H131" s="93"/>
      <c r="J131" s="120"/>
      <c r="K131" s="121"/>
      <c r="L131" s="291" t="s">
        <v>384</v>
      </c>
      <c r="M131" s="293" t="str">
        <f>IF($M$130="N/A","N/A",(M130* 3.41214))</f>
        <v>N/A</v>
      </c>
      <c r="N131" s="293" t="str">
        <f>IF($M$130="N/A","N/A",(N130*3.41214))</f>
        <v>N/A</v>
      </c>
      <c r="O131" s="136"/>
    </row>
    <row r="132" spans="2:15" ht="15.75">
      <c r="C132" s="115" t="str">
        <f>IF(C131=FALSE,"Please read these notes:","")</f>
        <v>Please read these notes:</v>
      </c>
      <c r="D132" s="91"/>
      <c r="E132" s="91"/>
      <c r="F132" s="91"/>
      <c r="G132" s="91"/>
      <c r="H132" s="93"/>
      <c r="J132" s="120"/>
      <c r="K132" s="121"/>
      <c r="L132" s="291"/>
      <c r="M132" s="294"/>
      <c r="N132" s="294"/>
      <c r="O132" s="136"/>
    </row>
    <row r="133" spans="2:15">
      <c r="C133" s="122" t="str">
        <f>IF(AND($H$129&gt;=2,$H$129&lt;3.6),"This system will require more than two power supplies.",IF($H$129&gt;3.6,"The system requires multiple power supplies isolated with MT-701 to separate subsystems.",""))</f>
        <v/>
      </c>
      <c r="D133" s="91"/>
      <c r="E133" s="91"/>
      <c r="F133" s="91"/>
      <c r="G133" s="91"/>
      <c r="H133" s="93"/>
      <c r="J133" s="120"/>
      <c r="K133" s="121"/>
      <c r="L133" s="291" t="s">
        <v>390</v>
      </c>
      <c r="M133" s="295" t="str">
        <f>IF($M$130="N/A","N/A",(M130/100))</f>
        <v>N/A</v>
      </c>
      <c r="N133" s="295" t="str">
        <f>IF($M$130="N/A","N/A",(N130/100))</f>
        <v>N/A</v>
      </c>
      <c r="O133" s="136"/>
    </row>
    <row r="134" spans="2:15" ht="14.65" thickBot="1">
      <c r="C134" s="94"/>
      <c r="D134" s="95"/>
      <c r="E134" s="95"/>
      <c r="F134" s="95"/>
      <c r="G134" s="95"/>
      <c r="H134" s="97"/>
      <c r="J134" s="120"/>
      <c r="K134" s="121"/>
      <c r="L134" s="291" t="s">
        <v>392</v>
      </c>
      <c r="M134" s="295" t="str">
        <f>IF($M$130="N/A","N/A",(M130/120))</f>
        <v>N/A</v>
      </c>
      <c r="N134" s="295" t="str">
        <f>IF($M$130="N/A","N/A",(N130/120))</f>
        <v>N/A</v>
      </c>
      <c r="O134" s="136"/>
    </row>
    <row r="135" spans="2:15" ht="14.65" thickBot="1">
      <c r="J135" s="120"/>
      <c r="K135" s="121"/>
      <c r="L135" s="291" t="s">
        <v>391</v>
      </c>
      <c r="M135" s="295" t="str">
        <f>IF($M$130="N/A","N/A",(M130/230))</f>
        <v>N/A</v>
      </c>
      <c r="N135" s="295" t="str">
        <f>IF($M$130="N/A","N/A",(N130/230))</f>
        <v>N/A</v>
      </c>
      <c r="O135" s="136"/>
    </row>
    <row r="136" spans="2:15" ht="18.399999999999999" thickBot="1">
      <c r="C136" s="86" t="s">
        <v>370</v>
      </c>
      <c r="D136" s="87"/>
      <c r="E136" s="88"/>
      <c r="F136" s="87"/>
      <c r="G136" s="87"/>
      <c r="H136" s="89"/>
      <c r="J136" s="296"/>
      <c r="K136" s="123"/>
      <c r="L136" s="123"/>
      <c r="M136" s="123"/>
      <c r="N136" s="123"/>
      <c r="O136" s="137"/>
    </row>
    <row r="137" spans="2:15" ht="15" customHeight="1">
      <c r="C137" s="90" t="s">
        <v>62</v>
      </c>
      <c r="D137" s="91"/>
      <c r="E137" s="92"/>
      <c r="F137" s="91"/>
      <c r="G137" s="91"/>
      <c r="H137" s="93"/>
    </row>
    <row r="138" spans="2:15" ht="14.25" customHeight="1">
      <c r="C138" s="90" t="s">
        <v>63</v>
      </c>
      <c r="D138" s="91"/>
      <c r="E138" s="92"/>
      <c r="F138" s="91"/>
      <c r="G138" s="91"/>
      <c r="H138" s="93"/>
      <c r="J138" s="331" t="s">
        <v>396</v>
      </c>
      <c r="K138" s="331"/>
      <c r="L138" s="331"/>
      <c r="M138" s="331"/>
      <c r="N138" s="331"/>
      <c r="O138" s="331"/>
    </row>
    <row r="139" spans="2:15">
      <c r="C139" s="90" t="s">
        <v>64</v>
      </c>
      <c r="D139" s="91"/>
      <c r="E139" s="92"/>
      <c r="F139" s="91"/>
      <c r="G139" s="91"/>
      <c r="H139" s="93"/>
      <c r="J139" s="331"/>
      <c r="K139" s="331"/>
      <c r="L139" s="331"/>
      <c r="M139" s="331"/>
      <c r="N139" s="331"/>
      <c r="O139" s="331"/>
    </row>
    <row r="140" spans="2:15">
      <c r="C140" s="90" t="s">
        <v>65</v>
      </c>
      <c r="D140" s="91"/>
      <c r="E140" s="92"/>
      <c r="F140" s="91"/>
      <c r="G140" s="91"/>
      <c r="H140" s="93"/>
      <c r="J140" s="331"/>
      <c r="K140" s="331"/>
      <c r="L140" s="331"/>
      <c r="M140" s="331"/>
      <c r="N140" s="331"/>
      <c r="O140" s="331"/>
    </row>
    <row r="141" spans="2:15">
      <c r="C141" s="90" t="s">
        <v>66</v>
      </c>
      <c r="D141" s="91"/>
      <c r="E141" s="92"/>
      <c r="F141" s="91"/>
      <c r="G141" s="91"/>
      <c r="H141" s="93"/>
      <c r="J141" s="331"/>
      <c r="K141" s="331"/>
      <c r="L141" s="331"/>
      <c r="M141" s="331"/>
      <c r="N141" s="331"/>
      <c r="O141" s="331"/>
    </row>
    <row r="142" spans="2:15" ht="14.65" thickBot="1">
      <c r="C142" s="94" t="s">
        <v>67</v>
      </c>
      <c r="D142" s="95"/>
      <c r="E142" s="96"/>
      <c r="F142" s="95"/>
      <c r="G142" s="95"/>
      <c r="H142" s="97"/>
      <c r="J142" s="331"/>
      <c r="K142" s="331"/>
      <c r="L142" s="331"/>
      <c r="M142" s="331"/>
      <c r="N142" s="331"/>
      <c r="O142" s="331"/>
    </row>
    <row r="146" spans="3:8">
      <c r="C146" s="4"/>
      <c r="D146" s="4"/>
      <c r="E146" s="5"/>
      <c r="F146" s="4"/>
      <c r="G146" s="4"/>
      <c r="H146" s="4"/>
    </row>
    <row r="147" spans="3:8">
      <c r="C147" s="4"/>
      <c r="D147" s="4"/>
      <c r="E147" s="5"/>
      <c r="F147" s="4"/>
      <c r="G147" s="4"/>
      <c r="H147" s="4"/>
    </row>
  </sheetData>
  <sheetProtection algorithmName="SHA-512" hashValue="fRLdl40lz7k+fHm3WAUt31L/2lQy1qXnMKYn2V2sjxiKsb8MKnnhrDR09YYHouNg4zhMc7SDiFt48GdeD6+GEw==" saltValue="LhIxi8+j2MAcv4hW6hlq6g==" spinCount="100000" sheet="1" objects="1" scenarios="1" selectLockedCells="1"/>
  <sortState xmlns:xlrd2="http://schemas.microsoft.com/office/spreadsheetml/2017/richdata2" ref="I60:O73">
    <sortCondition ref="J60:J73"/>
  </sortState>
  <mergeCells count="9">
    <mergeCell ref="J138:O142"/>
    <mergeCell ref="F5:H5"/>
    <mergeCell ref="J1:O4"/>
    <mergeCell ref="J6:L6"/>
    <mergeCell ref="J7:L7"/>
    <mergeCell ref="J8:L8"/>
    <mergeCell ref="J9:L9"/>
    <mergeCell ref="M6:N6"/>
    <mergeCell ref="M7:N7"/>
  </mergeCells>
  <conditionalFormatting sqref="R50">
    <cfRule type="expression" dxfId="3" priority="3">
      <formula>R50="ENTER Number of people talking at one time"</formula>
    </cfRule>
    <cfRule type="expression" dxfId="2" priority="4">
      <formula>R50="Enter NO MORE people talking than number of stations"</formula>
    </cfRule>
  </conditionalFormatting>
  <conditionalFormatting sqref="M104">
    <cfRule type="cellIs" dxfId="1" priority="2" operator="lessThanOrEqual">
      <formula>0</formula>
    </cfRule>
  </conditionalFormatting>
  <conditionalFormatting sqref="O104">
    <cfRule type="containsText" dxfId="0" priority="1" operator="containsText" text="Insufficient Power Available">
      <formula>NOT(ISERROR(SEARCH("Insufficient Power Available",O104)))</formula>
    </cfRule>
  </conditionalFormatting>
  <dataValidations count="10">
    <dataValidation type="whole" allowBlank="1" showInputMessage="1" showErrorMessage="1" errorTitle="Too many power supplies" error="This field only allows entry of 0-9 units in incriments of 1" sqref="L95:L97" xr:uid="{433B2B05-80C0-456C-B0D7-72026FFE847B}">
      <formula1>0</formula1>
      <formula2>1</formula2>
    </dataValidation>
    <dataValidation type="whole" allowBlank="1" showInputMessage="1" showErrorMessage="1" errorTitle="Too many power supplies" error="This field only allows entry of 0-9 units in incriments of 1" sqref="L50:L52 L35:L40 L87:L90 L26:L31 L64:L73 L55:L58 L75:L80" xr:uid="{EB9EA5F5-CC03-40F0-B65A-505BE693EF91}">
      <formula1>0</formula1>
      <formula2>9</formula2>
    </dataValidation>
    <dataValidation type="whole" allowBlank="1" showInputMessage="1" showErrorMessage="1" errorTitle="Too many user stations!" error="This field only allows entry of 0-99 units in incriments of 1" promptTitle="Enter number of user stations" sqref="F15:F24 F49:F50 F52:F54 F77:F80 F42:F47 F114:F117 F125:F127 F96 F112 F82:F94 F56:F65 F68:F75 F99:F110 F120:F121 F26:F40" xr:uid="{4C09A0B2-286B-495C-8728-791C12301B12}">
      <formula1>0</formula1>
      <formula2>99</formula2>
    </dataValidation>
    <dataValidation type="decimal" allowBlank="1" showInputMessage="1" showErrorMessage="1" errorTitle="Power consumption is high" error="This field only allows entry of 0-.250 A" promptTitle="Enter number of user stations" sqref="D125:E127" xr:uid="{A2EBE716-D234-48B5-936C-9ED372B5AC9C}">
      <formula1>0</formula1>
      <formula2>0.25</formula2>
    </dataValidation>
    <dataValidation type="textLength" allowBlank="1" showInputMessage="1" showErrorMessage="1" errorTitle="Name is too long" error="This field only allows 15 characters to be entered." promptTitle="Enter number of user stations" sqref="C125:C127 J95:J97" xr:uid="{EE0FFFBC-6871-4977-A0C9-37F8A0165F96}">
      <formula1>0</formula1>
      <formula2>15</formula2>
    </dataValidation>
    <dataValidation type="decimal" errorStyle="warning" allowBlank="1" showInputMessage="1" showErrorMessage="1" errorTitle="Power supplies are big" error="When using large power supplies it is suggested to use fused branches for safety" promptTitle="Power rating of the PSU" sqref="K95:K97" xr:uid="{847F7DF6-A8EA-413A-AC82-B9022D2E805F}">
      <formula1>0</formula1>
      <formula2>2.5</formula2>
    </dataValidation>
    <dataValidation type="whole" allowBlank="1" showInputMessage="1" showErrorMessage="1" errorTitle="Device does not provide power!" error="This device includes an AC power supply does not provide power. _x000a__x000a_System power supply is required." promptTitle="Device does not provide power!" prompt="This device includes an AC power supply does not provide power. _x000a__x000a_System power supply is required." sqref="L74 L53:L54 L91:L92" xr:uid="{BDDEBCAB-89AA-48B5-9055-D3B705C487C4}">
      <formula1>0</formula1>
      <formula2>25</formula2>
    </dataValidation>
    <dataValidation type="whole" allowBlank="1" showInputMessage="1" showErrorMessage="1" errorTitle="Too many power supplies" error="This field only allows entry of 0-1 units in incriments of 1" sqref="L82:L83 L60 L44:L45" xr:uid="{4ADFA8AE-FE49-4D0A-9F62-46B408803070}">
      <formula1>0</formula1>
      <formula2>1</formula2>
    </dataValidation>
    <dataValidation type="whole" errorStyle="information" allowBlank="1" showInputMessage="1" showErrorMessage="1" errorTitle="Device does not require power!" error="This device does not require power as it is either passive or powered." promptTitle="Device does not require power!" prompt="This device does not require power as it is either passive or powered." sqref="F66:F67 F95 F97:F98 F113 F122:F123 F118:F119" xr:uid="{46905033-2AEF-4885-A98D-659F32E15D1C}">
      <formula1>0</formula1>
      <formula2>99</formula2>
    </dataValidation>
    <dataValidation type="custom" allowBlank="1" showInputMessage="1" showErrorMessage="1" sqref="M9:O10 K10:L10 J6:J10 M6:M7 O6:O7" xr:uid="{B2F72C1F-0E06-49A4-9607-0496D5EEF056}">
      <formula1>"&lt;0&gt;0"</formula1>
    </dataValidation>
  </dataValidations>
  <hyperlinks>
    <hyperlink ref="J8" r:id="rId1" xr:uid="{AB9CD196-9D0A-4B67-AE75-19737947C6BF}"/>
    <hyperlink ref="J9" r:id="rId2" xr:uid="{553C3247-9761-446C-9696-B784E54C512A}"/>
    <hyperlink ref="J6" location="'Instructions - Background'!A1" display="Instructions - Partyline Power Estimator" xr:uid="{F6005694-4442-42EA-AA8C-5A638683C283}"/>
    <hyperlink ref="M6" r:id="rId3" xr:uid="{E7E38545-2DD7-4D6B-868F-A5F0DE43332C}"/>
    <hyperlink ref="O6" r:id="rId4" display="E-Mail Prefrences" xr:uid="{DD9C75FD-1D1C-4247-A213-4B0117742F11}"/>
    <hyperlink ref="M7" r:id="rId5" xr:uid="{4FCDF517-D5DB-46D3-AEC4-645CA28CF445}"/>
  </hyperlinks>
  <printOptions horizontalCentered="1"/>
  <pageMargins left="0.25" right="0.25" top="0.25" bottom="0.25" header="0" footer="0"/>
  <pageSetup scale="59" fitToHeight="2" orientation="portrait" r:id="rId6"/>
  <colBreaks count="1" manualBreakCount="1">
    <brk id="8" max="1048575" man="1"/>
  </colBreaks>
  <drawing r:id="rId7"/>
  <extLst>
    <ext xmlns:x14="http://schemas.microsoft.com/office/spreadsheetml/2009/9/main" uri="{CCE6A557-97BC-4b89-ADB6-D9C93CAAB3DF}">
      <x14:dataValidations xmlns:xm="http://schemas.microsoft.com/office/excel/2006/main" count="4">
        <x14:dataValidation type="list" allowBlank="1" showInputMessage="1" showErrorMessage="1" errorTitle="Select from dropdown" error="This is not a text entry field. Select an option from dropdown." xr:uid="{458D0323-123D-4ACA-96DE-287A0CA53226}">
          <x14:formula1>
            <xm:f>'Hidden Background Parameters'!$A$12:$A$13</xm:f>
          </x14:formula1>
          <xm:sqref>K34</xm:sqref>
        </x14:dataValidation>
        <x14:dataValidation type="list" allowBlank="1" showInputMessage="1" showErrorMessage="1" errorTitle="Select from dropdown" error="This is not a text entry field. Select an option from dropdown." xr:uid="{6D4F0973-C8D8-4131-AA62-878E3C270836}">
          <x14:formula1>
            <xm:f>'Hidden Background Parameters'!$A$6:$A$7</xm:f>
          </x14:formula1>
          <xm:sqref>K25 K49 K63</xm:sqref>
        </x14:dataValidation>
        <x14:dataValidation type="list" allowBlank="1" showInputMessage="1" showErrorMessage="1" errorTitle="Select from dropdown" error="This is not a text entry field. Select an option from dropdown." xr:uid="{D853E043-D2E4-48B2-B377-A36F3651E74A}">
          <x14:formula1>
            <xm:f>'Hidden Background Parameters'!$A$9:$A$10</xm:f>
          </x14:formula1>
          <xm:sqref>N14</xm:sqref>
        </x14:dataValidation>
        <x14:dataValidation type="list" allowBlank="1" showInputMessage="1" showErrorMessage="1" errorTitle="Select from dropdown" error="This is not a text entry field. Select an option from dropdown." xr:uid="{9B3C0D2E-1A9B-4BE4-99ED-46B7EBE68221}">
          <x14:formula1>
            <xm:f>'Hidden Background Parameters'!$A$2:$A$4</xm:f>
          </x14:formula1>
          <xm:sqref>K14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1842D-5094-4E2D-9173-6D4D154834BC}">
  <sheetPr>
    <tabColor theme="0" tint="-0.249977111117893"/>
    <pageSetUpPr fitToPage="1"/>
  </sheetPr>
  <dimension ref="A1:J32"/>
  <sheetViews>
    <sheetView showGridLines="0" view="pageBreakPreview" topLeftCell="A19" zoomScaleNormal="100" zoomScaleSheetLayoutView="100" workbookViewId="0"/>
  </sheetViews>
  <sheetFormatPr defaultColWidth="9" defaultRowHeight="14.25"/>
  <cols>
    <col min="1" max="1" width="3.1328125" style="3" customWidth="1"/>
    <col min="2" max="2" width="16" style="3" customWidth="1"/>
    <col min="3" max="4" width="14" style="3" customWidth="1"/>
    <col min="5" max="5" width="9" style="3"/>
    <col min="6" max="6" width="14" style="3" customWidth="1"/>
    <col min="7" max="7" width="39" style="3" customWidth="1"/>
    <col min="8" max="8" width="3.3984375" style="4" customWidth="1"/>
    <col min="9" max="9" width="4" style="4" customWidth="1"/>
    <col min="10" max="10" width="16.1328125" style="4" customWidth="1"/>
    <col min="11" max="12" width="9" style="4" customWidth="1"/>
    <col min="13" max="13" width="11.86328125" style="4" customWidth="1"/>
    <col min="14" max="14" width="13.3984375" style="4" customWidth="1"/>
    <col min="15" max="16384" width="9" style="4"/>
  </cols>
  <sheetData>
    <row r="1" spans="1:10">
      <c r="G1" s="173" t="str">
        <f>B25</f>
        <v>Version 1.3 - September 2022</v>
      </c>
    </row>
    <row r="2" spans="1:10">
      <c r="A2" s="4"/>
    </row>
    <row r="3" spans="1:10" ht="15" customHeight="1">
      <c r="A3" s="4"/>
      <c r="D3" s="333" t="s">
        <v>275</v>
      </c>
      <c r="E3" s="333"/>
      <c r="F3" s="333"/>
      <c r="G3" s="333"/>
      <c r="H3" s="6"/>
    </row>
    <row r="4" spans="1:10" ht="15" customHeight="1">
      <c r="A4" s="4"/>
      <c r="D4" s="333"/>
      <c r="E4" s="333"/>
      <c r="F4" s="333"/>
      <c r="G4" s="333"/>
      <c r="H4" s="6"/>
    </row>
    <row r="5" spans="1:10" ht="14.25" customHeight="1">
      <c r="A5" s="4"/>
      <c r="H5" s="8"/>
    </row>
    <row r="6" spans="1:10">
      <c r="A6" s="4"/>
      <c r="B6" s="9" t="s">
        <v>0</v>
      </c>
    </row>
    <row r="7" spans="1:10" ht="58.5" customHeight="1">
      <c r="A7" s="4"/>
      <c r="B7" s="334" t="s">
        <v>272</v>
      </c>
      <c r="C7" s="334"/>
      <c r="D7" s="334"/>
      <c r="E7" s="334"/>
      <c r="F7" s="334"/>
      <c r="G7" s="334"/>
    </row>
    <row r="8" spans="1:10">
      <c r="A8" s="4"/>
      <c r="C8" s="4"/>
      <c r="D8" s="4"/>
      <c r="E8" s="4"/>
      <c r="F8" s="5"/>
      <c r="G8" s="4"/>
    </row>
    <row r="9" spans="1:10">
      <c r="A9" s="4"/>
      <c r="B9" s="9" t="s">
        <v>203</v>
      </c>
      <c r="C9" s="4"/>
      <c r="D9" s="4"/>
      <c r="E9" s="4"/>
      <c r="F9" s="5"/>
      <c r="G9" s="4"/>
    </row>
    <row r="10" spans="1:10" ht="47.25" customHeight="1">
      <c r="A10" s="4"/>
      <c r="B10" s="335" t="s">
        <v>273</v>
      </c>
      <c r="C10" s="335"/>
      <c r="D10" s="335"/>
      <c r="E10" s="335"/>
      <c r="F10" s="335"/>
      <c r="G10" s="335"/>
    </row>
    <row r="11" spans="1:10">
      <c r="A11" s="4"/>
      <c r="B11" s="4"/>
      <c r="C11" s="4"/>
      <c r="D11" s="4"/>
      <c r="E11" s="4"/>
      <c r="F11" s="5"/>
      <c r="G11" s="4"/>
    </row>
    <row r="12" spans="1:10">
      <c r="A12" s="4"/>
      <c r="B12" s="9" t="s">
        <v>7</v>
      </c>
      <c r="C12" s="4"/>
      <c r="D12" s="4"/>
      <c r="E12" s="4"/>
      <c r="F12" s="5"/>
      <c r="G12" s="4"/>
      <c r="J12" s="10"/>
    </row>
    <row r="13" spans="1:10" ht="45" customHeight="1">
      <c r="A13" s="4"/>
      <c r="B13" s="336" t="s">
        <v>368</v>
      </c>
      <c r="C13" s="336"/>
      <c r="D13" s="336"/>
      <c r="E13" s="336"/>
      <c r="F13" s="336"/>
      <c r="G13" s="336"/>
    </row>
    <row r="14" spans="1:10">
      <c r="A14" s="4"/>
      <c r="B14" s="4"/>
      <c r="C14" s="4"/>
      <c r="D14" s="4"/>
      <c r="E14" s="4"/>
      <c r="F14" s="5"/>
      <c r="G14" s="4"/>
    </row>
    <row r="15" spans="1:10">
      <c r="B15" s="9" t="s">
        <v>8</v>
      </c>
    </row>
    <row r="16" spans="1:10" ht="153" customHeight="1">
      <c r="B16" s="332" t="s">
        <v>274</v>
      </c>
      <c r="C16" s="332"/>
      <c r="D16" s="332"/>
      <c r="E16" s="332"/>
      <c r="F16" s="332"/>
      <c r="G16" s="332"/>
    </row>
    <row r="18" spans="2:7">
      <c r="B18" s="9" t="s">
        <v>24</v>
      </c>
    </row>
    <row r="19" spans="2:7" ht="289.5" customHeight="1">
      <c r="B19" s="332" t="s">
        <v>329</v>
      </c>
      <c r="C19" s="332"/>
      <c r="D19" s="332"/>
      <c r="E19" s="332"/>
      <c r="F19" s="332"/>
      <c r="G19" s="332"/>
    </row>
    <row r="21" spans="2:7">
      <c r="B21" s="9" t="s">
        <v>265</v>
      </c>
    </row>
    <row r="22" spans="2:7" ht="123" customHeight="1">
      <c r="B22" s="332" t="s">
        <v>371</v>
      </c>
      <c r="C22" s="332"/>
      <c r="D22" s="332"/>
      <c r="E22" s="332"/>
      <c r="F22" s="332"/>
      <c r="G22" s="332"/>
    </row>
    <row r="24" spans="2:7">
      <c r="B24" s="9" t="s">
        <v>277</v>
      </c>
    </row>
    <row r="25" spans="2:7">
      <c r="B25" s="3" t="s">
        <v>401</v>
      </c>
      <c r="D25" s="3" t="s">
        <v>402</v>
      </c>
    </row>
    <row r="26" spans="2:7">
      <c r="B26" s="3" t="s">
        <v>381</v>
      </c>
      <c r="D26" s="3" t="s">
        <v>394</v>
      </c>
    </row>
    <row r="27" spans="2:7">
      <c r="B27" s="3" t="s">
        <v>369</v>
      </c>
      <c r="D27" s="3" t="s">
        <v>373</v>
      </c>
    </row>
    <row r="28" spans="2:7">
      <c r="B28" s="3" t="s">
        <v>374</v>
      </c>
      <c r="D28" s="3" t="s">
        <v>372</v>
      </c>
    </row>
    <row r="32" spans="2:7">
      <c r="G32" s="10"/>
    </row>
  </sheetData>
  <sheetProtection algorithmName="SHA-512" hashValue="/GLtZWuJPpEEGdkIZ5DILr7UH/goY44ghO+L2xQ5HiZPqHnHelIx8vP5OYVrCpurb/haPo45HlgwHu57QdSDjQ==" saltValue="YJT9zbx+l6CauQh77ErJ4A==" spinCount="100000" sheet="1" objects="1" scenarios="1" selectLockedCells="1" selectUnlockedCells="1"/>
  <mergeCells count="7">
    <mergeCell ref="B16:G16"/>
    <mergeCell ref="B19:G19"/>
    <mergeCell ref="B22:G22"/>
    <mergeCell ref="D3:G4"/>
    <mergeCell ref="B7:G7"/>
    <mergeCell ref="B10:G10"/>
    <mergeCell ref="B13:G13"/>
  </mergeCells>
  <printOptions horizontalCentered="1"/>
  <pageMargins left="0.25" right="0.25" top="0.25" bottom="0.25" header="0" footer="0"/>
  <pageSetup scale="7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1BAF5-F8B4-413B-8D2E-23E98FB3B895}">
  <dimension ref="A1:AA130"/>
  <sheetViews>
    <sheetView zoomScaleNormal="100" workbookViewId="0">
      <selection activeCell="A16" sqref="A16"/>
    </sheetView>
  </sheetViews>
  <sheetFormatPr defaultColWidth="9.1328125" defaultRowHeight="14.25"/>
  <cols>
    <col min="1" max="1" width="21.1328125" style="2" customWidth="1"/>
    <col min="2" max="2" width="20" style="2" customWidth="1"/>
    <col min="3" max="6" width="9.1328125" style="2"/>
    <col min="7" max="7" width="9.1328125" style="76"/>
    <col min="8" max="8" width="14.3984375" style="76" customWidth="1"/>
    <col min="9" max="15" width="9.1328125" style="2"/>
    <col min="16" max="16" width="9.1328125" style="1"/>
    <col min="17" max="21" width="9.1328125" style="2"/>
    <col min="22" max="22" width="39.265625" style="2" customWidth="1"/>
    <col min="23" max="23" width="12.265625" style="201" customWidth="1"/>
    <col min="24" max="26" width="12.265625" style="2" customWidth="1"/>
    <col min="28" max="16384" width="9.1328125" style="2"/>
  </cols>
  <sheetData>
    <row r="1" spans="1:26" s="189" customFormat="1" ht="18">
      <c r="A1" s="181" t="s">
        <v>201</v>
      </c>
      <c r="B1" s="182" t="s">
        <v>68</v>
      </c>
      <c r="C1" s="182" t="s">
        <v>32</v>
      </c>
      <c r="D1" s="182" t="s">
        <v>69</v>
      </c>
      <c r="E1" s="183"/>
      <c r="F1" s="184">
        <v>0</v>
      </c>
      <c r="G1" s="185" t="s">
        <v>162</v>
      </c>
      <c r="H1" s="185" t="s">
        <v>163</v>
      </c>
      <c r="I1" s="186" t="s">
        <v>11</v>
      </c>
      <c r="J1" s="187" t="s">
        <v>12</v>
      </c>
      <c r="K1" s="188" t="s">
        <v>72</v>
      </c>
      <c r="L1" s="188" t="s">
        <v>295</v>
      </c>
      <c r="M1" s="188" t="s">
        <v>296</v>
      </c>
      <c r="N1" s="188" t="s">
        <v>297</v>
      </c>
      <c r="O1" s="188" t="s">
        <v>298</v>
      </c>
      <c r="P1" s="198"/>
      <c r="Q1" s="190">
        <v>0</v>
      </c>
      <c r="R1" s="191" t="s">
        <v>162</v>
      </c>
      <c r="S1" s="191" t="s">
        <v>163</v>
      </c>
      <c r="T1" s="192" t="s">
        <v>179</v>
      </c>
      <c r="U1" s="192" t="s">
        <v>26</v>
      </c>
      <c r="V1" s="193" t="s">
        <v>72</v>
      </c>
      <c r="W1" s="199" t="s">
        <v>295</v>
      </c>
      <c r="X1" s="193" t="s">
        <v>296</v>
      </c>
      <c r="Y1" s="193" t="s">
        <v>297</v>
      </c>
      <c r="Z1" s="193" t="s">
        <v>298</v>
      </c>
    </row>
    <row r="2" spans="1:26">
      <c r="A2" s="155" t="s">
        <v>70</v>
      </c>
      <c r="B2" s="156">
        <v>0.8</v>
      </c>
      <c r="C2" s="156">
        <v>0.8</v>
      </c>
      <c r="D2" s="156">
        <v>0.8</v>
      </c>
      <c r="E2" s="153"/>
      <c r="F2" s="160">
        <v>1</v>
      </c>
      <c r="G2" s="161" t="s">
        <v>157</v>
      </c>
      <c r="H2" s="167" t="s">
        <v>99</v>
      </c>
      <c r="I2" s="162">
        <v>1.7999999999999999E-2</v>
      </c>
      <c r="J2" s="162">
        <v>1.7999999999999999E-2</v>
      </c>
      <c r="K2" s="159"/>
      <c r="L2" s="159"/>
      <c r="M2" s="159"/>
      <c r="N2" s="159"/>
      <c r="O2" s="159"/>
      <c r="Q2" s="80">
        <v>1</v>
      </c>
      <c r="R2" s="77" t="s">
        <v>157</v>
      </c>
      <c r="S2" s="77" t="s">
        <v>120</v>
      </c>
      <c r="T2" s="78">
        <v>2</v>
      </c>
      <c r="U2" s="78">
        <v>2</v>
      </c>
      <c r="V2" s="77"/>
      <c r="W2" s="200"/>
      <c r="X2" s="200"/>
      <c r="Y2" s="200">
        <v>1978</v>
      </c>
      <c r="Z2" s="200">
        <v>1978</v>
      </c>
    </row>
    <row r="3" spans="1:26">
      <c r="A3" s="155" t="s">
        <v>17</v>
      </c>
      <c r="B3" s="156">
        <v>0.9</v>
      </c>
      <c r="C3" s="156">
        <v>0.9</v>
      </c>
      <c r="D3" s="156">
        <v>0.9</v>
      </c>
      <c r="E3" s="153"/>
      <c r="F3" s="160">
        <v>1</v>
      </c>
      <c r="G3" s="168" t="s">
        <v>157</v>
      </c>
      <c r="H3" s="160" t="s">
        <v>213</v>
      </c>
      <c r="I3" s="162">
        <v>0</v>
      </c>
      <c r="J3" s="162">
        <v>0</v>
      </c>
      <c r="K3" s="159"/>
      <c r="L3" s="159"/>
      <c r="M3" s="159"/>
      <c r="N3" s="159"/>
      <c r="O3" s="159"/>
      <c r="Q3" s="80">
        <v>1</v>
      </c>
      <c r="R3" s="77" t="s">
        <v>157</v>
      </c>
      <c r="S3" s="77" t="s">
        <v>121</v>
      </c>
      <c r="T3" s="78">
        <v>2</v>
      </c>
      <c r="U3" s="78">
        <v>2</v>
      </c>
      <c r="V3" s="77"/>
      <c r="W3" s="200"/>
      <c r="X3" s="200"/>
      <c r="Y3" s="200">
        <v>1978</v>
      </c>
      <c r="Z3" s="200">
        <v>1978</v>
      </c>
    </row>
    <row r="4" spans="1:26">
      <c r="A4" s="155" t="s">
        <v>71</v>
      </c>
      <c r="B4" s="156">
        <v>1</v>
      </c>
      <c r="C4" s="156">
        <v>1</v>
      </c>
      <c r="D4" s="156">
        <v>1</v>
      </c>
      <c r="E4" s="153"/>
      <c r="F4" s="160">
        <v>1</v>
      </c>
      <c r="G4" s="161" t="s">
        <v>157</v>
      </c>
      <c r="H4" s="167" t="s">
        <v>75</v>
      </c>
      <c r="I4" s="163">
        <v>0.02</v>
      </c>
      <c r="J4" s="162">
        <v>0.1</v>
      </c>
      <c r="K4" s="159"/>
      <c r="L4" s="159"/>
      <c r="M4" s="159"/>
      <c r="N4" s="159">
        <v>1978</v>
      </c>
      <c r="O4" s="159">
        <v>1978</v>
      </c>
      <c r="Q4" s="80">
        <v>1</v>
      </c>
      <c r="R4" s="77" t="s">
        <v>157</v>
      </c>
      <c r="S4" s="77" t="s">
        <v>127</v>
      </c>
      <c r="T4" s="78">
        <v>0.6</v>
      </c>
      <c r="U4" s="78">
        <v>0.6</v>
      </c>
      <c r="V4" s="77"/>
      <c r="W4" s="200"/>
      <c r="X4" s="200"/>
      <c r="Y4" s="200">
        <v>1983</v>
      </c>
      <c r="Z4" s="200">
        <v>1983</v>
      </c>
    </row>
    <row r="5" spans="1:26">
      <c r="A5" s="155"/>
      <c r="B5" s="157"/>
      <c r="C5" s="157"/>
      <c r="D5" s="156"/>
      <c r="E5" s="153"/>
      <c r="F5" s="160">
        <v>1</v>
      </c>
      <c r="G5" s="161" t="s">
        <v>157</v>
      </c>
      <c r="H5" s="167" t="s">
        <v>315</v>
      </c>
      <c r="I5" s="163">
        <v>0.02</v>
      </c>
      <c r="J5" s="162">
        <v>0.1</v>
      </c>
      <c r="K5" s="159"/>
      <c r="L5" s="159"/>
      <c r="M5" s="159"/>
      <c r="N5" s="159"/>
      <c r="O5" s="159"/>
      <c r="Q5" s="80">
        <v>1</v>
      </c>
      <c r="R5" s="77" t="s">
        <v>157</v>
      </c>
      <c r="S5" s="77" t="s">
        <v>122</v>
      </c>
      <c r="T5" s="78">
        <v>2</v>
      </c>
      <c r="U5" s="78">
        <v>2</v>
      </c>
      <c r="V5" s="77"/>
      <c r="W5" s="200"/>
      <c r="X5" s="200"/>
      <c r="Y5" s="200">
        <v>1978</v>
      </c>
      <c r="Z5" s="200">
        <v>1978</v>
      </c>
    </row>
    <row r="6" spans="1:26">
      <c r="A6" s="155" t="s">
        <v>167</v>
      </c>
      <c r="B6" s="158">
        <v>2</v>
      </c>
      <c r="C6" s="158">
        <v>0.4</v>
      </c>
      <c r="D6" s="158"/>
      <c r="E6" s="154"/>
      <c r="F6" s="160">
        <v>1</v>
      </c>
      <c r="G6" s="161" t="s">
        <v>157</v>
      </c>
      <c r="H6" s="167" t="s">
        <v>76</v>
      </c>
      <c r="I6" s="163">
        <v>0.02</v>
      </c>
      <c r="J6" s="162">
        <v>0.1</v>
      </c>
      <c r="K6" s="159"/>
      <c r="L6" s="159"/>
      <c r="M6" s="159"/>
      <c r="N6" s="159"/>
      <c r="O6" s="159"/>
      <c r="Q6" s="80">
        <v>1</v>
      </c>
      <c r="R6" s="77" t="s">
        <v>155</v>
      </c>
      <c r="S6" s="77" t="s">
        <v>124</v>
      </c>
      <c r="T6" s="78">
        <v>0.8</v>
      </c>
      <c r="U6" s="78">
        <v>2</v>
      </c>
      <c r="V6" s="77"/>
      <c r="W6" s="200"/>
      <c r="X6" s="200"/>
      <c r="Y6" s="200">
        <v>1980</v>
      </c>
      <c r="Z6" s="200">
        <v>1980</v>
      </c>
    </row>
    <row r="7" spans="1:26">
      <c r="A7" s="155" t="s">
        <v>168</v>
      </c>
      <c r="B7" s="158">
        <v>1.2</v>
      </c>
      <c r="C7" s="158">
        <v>0.4</v>
      </c>
      <c r="D7" s="158"/>
      <c r="E7" s="154"/>
      <c r="F7" s="160">
        <v>1</v>
      </c>
      <c r="G7" s="161" t="s">
        <v>157</v>
      </c>
      <c r="H7" s="167" t="s">
        <v>81</v>
      </c>
      <c r="I7" s="163">
        <v>0.01</v>
      </c>
      <c r="J7" s="163">
        <v>5.5E-2</v>
      </c>
      <c r="K7" s="159"/>
      <c r="L7" s="159"/>
      <c r="M7" s="159"/>
      <c r="N7" s="159"/>
      <c r="O7" s="159"/>
      <c r="Q7" s="80">
        <v>2</v>
      </c>
      <c r="R7" s="77" t="s">
        <v>155</v>
      </c>
      <c r="S7" s="77" t="s">
        <v>139</v>
      </c>
      <c r="T7" s="78">
        <v>1</v>
      </c>
      <c r="U7" s="78">
        <v>1</v>
      </c>
      <c r="V7" s="77"/>
      <c r="W7" s="200"/>
      <c r="X7" s="200"/>
      <c r="Y7" s="200" t="s">
        <v>299</v>
      </c>
      <c r="Z7" s="200" t="s">
        <v>299</v>
      </c>
    </row>
    <row r="8" spans="1:26">
      <c r="A8" s="157"/>
      <c r="B8" s="157"/>
      <c r="C8" s="156"/>
      <c r="D8" s="156"/>
      <c r="E8" s="153"/>
      <c r="F8" s="160">
        <v>1</v>
      </c>
      <c r="G8" s="168" t="s">
        <v>157</v>
      </c>
      <c r="H8" s="160" t="s">
        <v>253</v>
      </c>
      <c r="I8" s="162">
        <v>0</v>
      </c>
      <c r="J8" s="162">
        <v>0</v>
      </c>
      <c r="K8" s="159"/>
      <c r="L8" s="159"/>
      <c r="M8" s="159"/>
      <c r="N8" s="159"/>
      <c r="O8" s="159"/>
      <c r="Q8" s="80">
        <v>2</v>
      </c>
      <c r="R8" s="77" t="s">
        <v>155</v>
      </c>
      <c r="S8" s="77" t="s">
        <v>106</v>
      </c>
      <c r="T8" s="78">
        <v>1</v>
      </c>
      <c r="U8" s="78">
        <v>1</v>
      </c>
      <c r="V8" s="77"/>
      <c r="W8" s="200"/>
      <c r="X8" s="200"/>
      <c r="Y8" s="200">
        <v>1991</v>
      </c>
      <c r="Z8" s="200">
        <v>1991</v>
      </c>
    </row>
    <row r="9" spans="1:26">
      <c r="A9" s="155" t="s">
        <v>17</v>
      </c>
      <c r="B9" s="156">
        <v>1</v>
      </c>
      <c r="C9" s="157"/>
      <c r="D9" s="157"/>
      <c r="F9" s="160">
        <v>1</v>
      </c>
      <c r="G9" s="168" t="s">
        <v>157</v>
      </c>
      <c r="H9" s="160" t="s">
        <v>252</v>
      </c>
      <c r="I9" s="162">
        <v>0</v>
      </c>
      <c r="J9" s="162">
        <v>0</v>
      </c>
      <c r="K9" s="159"/>
      <c r="L9" s="159"/>
      <c r="M9" s="159"/>
      <c r="N9" s="159"/>
      <c r="O9" s="159"/>
      <c r="Q9" s="80">
        <v>2</v>
      </c>
      <c r="R9" s="77" t="s">
        <v>155</v>
      </c>
      <c r="S9" s="77" t="s">
        <v>314</v>
      </c>
      <c r="T9" s="78">
        <v>1</v>
      </c>
      <c r="U9" s="78">
        <v>1</v>
      </c>
      <c r="V9" s="77"/>
      <c r="W9" s="200"/>
      <c r="X9" s="200"/>
      <c r="Y9" s="200">
        <v>1984</v>
      </c>
      <c r="Z9" s="200">
        <v>1984</v>
      </c>
    </row>
    <row r="10" spans="1:26">
      <c r="A10" s="155" t="s">
        <v>271</v>
      </c>
      <c r="B10" s="156">
        <v>0.8</v>
      </c>
      <c r="C10" s="157"/>
      <c r="D10" s="157"/>
      <c r="F10" s="160">
        <v>1</v>
      </c>
      <c r="G10" s="161" t="s">
        <v>157</v>
      </c>
      <c r="H10" s="167" t="s">
        <v>210</v>
      </c>
      <c r="I10" s="162">
        <v>7.0000000000000001E-3</v>
      </c>
      <c r="J10" s="162">
        <v>0.05</v>
      </c>
      <c r="K10" s="159"/>
      <c r="L10" s="159"/>
      <c r="M10" s="159"/>
      <c r="N10" s="159"/>
      <c r="O10" s="159"/>
      <c r="Q10" s="80">
        <v>2</v>
      </c>
      <c r="R10" s="77" t="s">
        <v>155</v>
      </c>
      <c r="S10" s="77" t="s">
        <v>140</v>
      </c>
      <c r="T10" s="78">
        <v>2</v>
      </c>
      <c r="U10" s="78">
        <v>2</v>
      </c>
      <c r="V10" s="77" t="s">
        <v>283</v>
      </c>
      <c r="W10" s="200"/>
      <c r="X10" s="200"/>
      <c r="Y10" s="200">
        <v>1984</v>
      </c>
      <c r="Z10" s="200">
        <v>1984</v>
      </c>
    </row>
    <row r="11" spans="1:26">
      <c r="A11" s="157"/>
      <c r="B11" s="157"/>
      <c r="C11" s="157"/>
      <c r="D11" s="157"/>
      <c r="F11" s="160">
        <v>1</v>
      </c>
      <c r="G11" s="161" t="s">
        <v>157</v>
      </c>
      <c r="H11" s="167" t="s">
        <v>115</v>
      </c>
      <c r="I11" s="162">
        <v>7.0000000000000001E-3</v>
      </c>
      <c r="J11" s="162">
        <v>0.05</v>
      </c>
      <c r="K11" s="159"/>
      <c r="L11" s="159"/>
      <c r="M11" s="159"/>
      <c r="N11" s="159"/>
      <c r="O11" s="159"/>
      <c r="Q11" s="80">
        <v>2</v>
      </c>
      <c r="R11" s="77" t="s">
        <v>155</v>
      </c>
      <c r="S11" s="77" t="s">
        <v>150</v>
      </c>
      <c r="T11" s="78">
        <v>1</v>
      </c>
      <c r="U11" s="78">
        <v>1</v>
      </c>
      <c r="V11" s="77" t="s">
        <v>285</v>
      </c>
      <c r="W11" s="200"/>
      <c r="X11" s="200"/>
      <c r="Y11" s="200">
        <v>1988</v>
      </c>
      <c r="Z11" s="200">
        <v>1988</v>
      </c>
    </row>
    <row r="12" spans="1:26">
      <c r="A12" s="155" t="s">
        <v>169</v>
      </c>
      <c r="B12" s="157"/>
      <c r="C12" s="157"/>
      <c r="D12" s="157"/>
      <c r="F12" s="160">
        <v>1</v>
      </c>
      <c r="G12" s="161" t="s">
        <v>157</v>
      </c>
      <c r="H12" s="167" t="s">
        <v>118</v>
      </c>
      <c r="I12" s="162">
        <v>0</v>
      </c>
      <c r="J12" s="162">
        <v>0</v>
      </c>
      <c r="K12" s="159"/>
      <c r="L12" s="159"/>
      <c r="M12" s="159"/>
      <c r="N12" s="159"/>
      <c r="O12" s="159"/>
      <c r="Q12" s="80">
        <v>2</v>
      </c>
      <c r="R12" s="77" t="s">
        <v>155</v>
      </c>
      <c r="S12" s="77" t="s">
        <v>282</v>
      </c>
      <c r="T12" s="78">
        <v>1</v>
      </c>
      <c r="U12" s="78">
        <v>1</v>
      </c>
      <c r="V12" s="77" t="s">
        <v>284</v>
      </c>
      <c r="W12" s="200"/>
      <c r="X12" s="200"/>
      <c r="Y12" s="200">
        <v>1988</v>
      </c>
      <c r="Z12" s="200">
        <v>1988</v>
      </c>
    </row>
    <row r="13" spans="1:26">
      <c r="A13" s="155" t="s">
        <v>172</v>
      </c>
      <c r="B13" s="157"/>
      <c r="C13" s="157"/>
      <c r="D13" s="157"/>
      <c r="F13" s="160">
        <v>1</v>
      </c>
      <c r="G13" s="161" t="s">
        <v>157</v>
      </c>
      <c r="H13" s="167" t="s">
        <v>119</v>
      </c>
      <c r="I13" s="162">
        <v>0</v>
      </c>
      <c r="J13" s="162">
        <v>0</v>
      </c>
      <c r="K13" s="159"/>
      <c r="L13" s="159"/>
      <c r="M13" s="159"/>
      <c r="N13" s="159"/>
      <c r="O13" s="159"/>
      <c r="Q13" s="80">
        <v>2</v>
      </c>
      <c r="R13" s="77" t="s">
        <v>155</v>
      </c>
      <c r="S13" s="77" t="s">
        <v>107</v>
      </c>
      <c r="T13" s="78">
        <v>1</v>
      </c>
      <c r="U13" s="78">
        <v>1</v>
      </c>
      <c r="V13" s="77"/>
      <c r="W13" s="200"/>
      <c r="X13" s="200"/>
      <c r="Y13" s="200">
        <v>1991</v>
      </c>
      <c r="Z13" s="200">
        <v>1991</v>
      </c>
    </row>
    <row r="14" spans="1:26">
      <c r="F14" s="160">
        <v>2</v>
      </c>
      <c r="G14" s="161" t="s">
        <v>155</v>
      </c>
      <c r="H14" s="167" t="s">
        <v>161</v>
      </c>
      <c r="I14" s="162">
        <v>1.7999999999999999E-2</v>
      </c>
      <c r="J14" s="162">
        <v>1.7999999999999999E-2</v>
      </c>
      <c r="K14" s="159"/>
      <c r="L14" s="159"/>
      <c r="M14" s="159"/>
      <c r="N14" s="159">
        <v>1990</v>
      </c>
      <c r="O14" s="159">
        <v>1990</v>
      </c>
      <c r="Q14" s="80">
        <v>2</v>
      </c>
      <c r="R14" s="77" t="s">
        <v>155</v>
      </c>
      <c r="S14" s="77" t="s">
        <v>286</v>
      </c>
      <c r="T14" s="78">
        <v>2</v>
      </c>
      <c r="U14" s="78">
        <v>2</v>
      </c>
      <c r="V14" s="77" t="s">
        <v>287</v>
      </c>
      <c r="W14" s="200"/>
      <c r="X14" s="200"/>
      <c r="Y14" s="205"/>
      <c r="Z14" s="205"/>
    </row>
    <row r="15" spans="1:26">
      <c r="A15" s="170" t="s">
        <v>262</v>
      </c>
      <c r="B15" s="1"/>
      <c r="F15" s="160">
        <v>2</v>
      </c>
      <c r="G15" s="161" t="s">
        <v>155</v>
      </c>
      <c r="H15" s="167" t="s">
        <v>130</v>
      </c>
      <c r="I15" s="162">
        <v>0.12</v>
      </c>
      <c r="J15" s="162">
        <v>0.15</v>
      </c>
      <c r="K15" s="159"/>
      <c r="L15" s="159"/>
      <c r="M15" s="159"/>
      <c r="N15" s="159">
        <v>1988</v>
      </c>
      <c r="O15" s="159">
        <v>1988</v>
      </c>
      <c r="Q15" s="80">
        <v>2</v>
      </c>
      <c r="R15" s="77" t="s">
        <v>155</v>
      </c>
      <c r="S15" s="77" t="s">
        <v>108</v>
      </c>
      <c r="T15" s="78">
        <v>2</v>
      </c>
      <c r="U15" s="78">
        <v>2</v>
      </c>
      <c r="V15" s="77" t="s">
        <v>288</v>
      </c>
      <c r="W15" s="200"/>
      <c r="X15" s="200"/>
      <c r="Y15" s="200">
        <v>1988</v>
      </c>
      <c r="Z15" s="200">
        <v>1988</v>
      </c>
    </row>
    <row r="16" spans="1:26">
      <c r="B16" s="1"/>
      <c r="F16" s="160">
        <v>2</v>
      </c>
      <c r="G16" s="161" t="s">
        <v>155</v>
      </c>
      <c r="H16" s="167" t="s">
        <v>225</v>
      </c>
      <c r="I16" s="162">
        <v>0.04</v>
      </c>
      <c r="J16" s="162">
        <v>0.04</v>
      </c>
      <c r="K16" s="159"/>
      <c r="L16" s="159"/>
      <c r="M16" s="159"/>
      <c r="N16" s="159"/>
      <c r="O16" s="159"/>
      <c r="Q16" s="80">
        <v>2</v>
      </c>
      <c r="R16" s="77" t="s">
        <v>155</v>
      </c>
      <c r="S16" s="77" t="s">
        <v>313</v>
      </c>
      <c r="T16" s="78">
        <v>2</v>
      </c>
      <c r="U16" s="78">
        <v>2</v>
      </c>
      <c r="V16" s="77"/>
      <c r="W16" s="200"/>
      <c r="X16" s="200"/>
      <c r="Y16" s="200">
        <v>1984</v>
      </c>
      <c r="Z16" s="200">
        <v>1984</v>
      </c>
    </row>
    <row r="17" spans="1:26">
      <c r="A17" s="171"/>
      <c r="B17" s="178"/>
      <c r="F17" s="160">
        <v>2</v>
      </c>
      <c r="G17" s="161" t="s">
        <v>155</v>
      </c>
      <c r="H17" s="167" t="s">
        <v>141</v>
      </c>
      <c r="I17" s="162">
        <v>1.2E-2</v>
      </c>
      <c r="J17" s="162">
        <v>0.04</v>
      </c>
      <c r="K17" s="159"/>
      <c r="L17" s="159"/>
      <c r="M17" s="159"/>
      <c r="N17" s="159"/>
      <c r="O17" s="159"/>
      <c r="Q17" s="80">
        <v>2</v>
      </c>
      <c r="R17" s="77" t="s">
        <v>155</v>
      </c>
      <c r="S17" s="77" t="s">
        <v>114</v>
      </c>
      <c r="T17" s="78">
        <v>0</v>
      </c>
      <c r="U17" s="78">
        <v>0</v>
      </c>
      <c r="V17" s="77"/>
      <c r="W17" s="200"/>
      <c r="X17" s="200"/>
      <c r="Y17" s="200">
        <v>1990</v>
      </c>
      <c r="Z17" s="200">
        <v>1990</v>
      </c>
    </row>
    <row r="18" spans="1:26">
      <c r="A18" s="1"/>
      <c r="B18" s="1"/>
      <c r="F18" s="160">
        <v>2</v>
      </c>
      <c r="G18" s="161" t="s">
        <v>155</v>
      </c>
      <c r="H18" s="167" t="s">
        <v>142</v>
      </c>
      <c r="I18" s="162">
        <v>2.5000000000000001E-2</v>
      </c>
      <c r="J18" s="162">
        <v>0.06</v>
      </c>
      <c r="K18" s="159"/>
      <c r="L18" s="159"/>
      <c r="M18" s="159"/>
      <c r="N18" s="159">
        <v>1984</v>
      </c>
      <c r="O18" s="159">
        <v>1984</v>
      </c>
      <c r="Q18" s="80">
        <v>2</v>
      </c>
      <c r="R18" s="77" t="s">
        <v>155</v>
      </c>
      <c r="S18" s="77" t="s">
        <v>128</v>
      </c>
      <c r="T18" s="78">
        <v>1</v>
      </c>
      <c r="U18" s="78">
        <v>1</v>
      </c>
      <c r="V18" s="77"/>
      <c r="W18" s="200"/>
      <c r="X18" s="200"/>
      <c r="Y18" s="200">
        <v>1984</v>
      </c>
      <c r="Z18" s="200">
        <v>1984</v>
      </c>
    </row>
    <row r="19" spans="1:26">
      <c r="A19" s="171"/>
      <c r="B19" s="1"/>
      <c r="F19" s="160">
        <v>2</v>
      </c>
      <c r="G19" s="161" t="s">
        <v>155</v>
      </c>
      <c r="H19" s="167" t="s">
        <v>290</v>
      </c>
      <c r="I19" s="162">
        <v>0.05</v>
      </c>
      <c r="J19" s="162">
        <v>0.05</v>
      </c>
      <c r="K19" s="159"/>
      <c r="L19" s="159"/>
      <c r="M19" s="159"/>
      <c r="N19" s="159">
        <v>1983</v>
      </c>
      <c r="O19" s="159">
        <v>1983</v>
      </c>
      <c r="Q19" s="80">
        <v>3</v>
      </c>
      <c r="R19" s="77" t="s">
        <v>158</v>
      </c>
      <c r="S19" s="77" t="s">
        <v>94</v>
      </c>
      <c r="T19" s="78">
        <v>1</v>
      </c>
      <c r="U19" s="78">
        <v>1</v>
      </c>
      <c r="V19" s="77"/>
      <c r="W19" s="200"/>
      <c r="X19" s="200">
        <v>2000</v>
      </c>
      <c r="Y19" s="200"/>
      <c r="Z19" s="200"/>
    </row>
    <row r="20" spans="1:26">
      <c r="B20" s="1"/>
      <c r="F20" s="160">
        <v>2</v>
      </c>
      <c r="G20" s="161" t="s">
        <v>155</v>
      </c>
      <c r="H20" s="167" t="s">
        <v>214</v>
      </c>
      <c r="I20" s="162">
        <v>0.02</v>
      </c>
      <c r="J20" s="162">
        <v>0.1</v>
      </c>
      <c r="K20" s="159"/>
      <c r="L20" s="159"/>
      <c r="M20" s="159"/>
      <c r="N20" s="159">
        <v>1988</v>
      </c>
      <c r="O20" s="159">
        <v>1988</v>
      </c>
      <c r="Q20" s="80">
        <v>2</v>
      </c>
      <c r="R20" s="77" t="s">
        <v>155</v>
      </c>
      <c r="S20" s="77" t="s">
        <v>125</v>
      </c>
      <c r="T20" s="78">
        <v>2</v>
      </c>
      <c r="U20" s="78">
        <v>2</v>
      </c>
      <c r="V20" s="77"/>
      <c r="W20" s="200"/>
      <c r="X20" s="200"/>
      <c r="Y20" s="200">
        <v>1983</v>
      </c>
      <c r="Z20" s="200">
        <v>1983</v>
      </c>
    </row>
    <row r="21" spans="1:26">
      <c r="A21" s="170" t="s">
        <v>263</v>
      </c>
      <c r="F21" s="160">
        <v>2</v>
      </c>
      <c r="G21" s="161" t="s">
        <v>155</v>
      </c>
      <c r="H21" s="167" t="s">
        <v>89</v>
      </c>
      <c r="I21" s="162">
        <v>0.02</v>
      </c>
      <c r="J21" s="162">
        <v>0.1</v>
      </c>
      <c r="K21" s="159"/>
      <c r="L21" s="159"/>
      <c r="M21" s="159"/>
      <c r="N21" s="159">
        <v>1988</v>
      </c>
      <c r="O21" s="159">
        <v>1988</v>
      </c>
      <c r="Q21" s="80">
        <v>2</v>
      </c>
      <c r="R21" s="77" t="s">
        <v>155</v>
      </c>
      <c r="S21" s="77" t="s">
        <v>96</v>
      </c>
      <c r="T21" s="78">
        <v>1</v>
      </c>
      <c r="U21" s="78">
        <v>2</v>
      </c>
      <c r="V21" s="77" t="s">
        <v>188</v>
      </c>
      <c r="W21" s="200"/>
      <c r="X21" s="200"/>
      <c r="Y21" s="200"/>
      <c r="Z21" s="200"/>
    </row>
    <row r="22" spans="1:26">
      <c r="A22" s="1" t="s">
        <v>264</v>
      </c>
      <c r="F22" s="160">
        <v>2</v>
      </c>
      <c r="G22" s="161" t="s">
        <v>155</v>
      </c>
      <c r="H22" s="167" t="s">
        <v>77</v>
      </c>
      <c r="I22" s="162">
        <v>0.02</v>
      </c>
      <c r="J22" s="162">
        <v>0.1</v>
      </c>
      <c r="K22" s="159"/>
      <c r="L22" s="159"/>
      <c r="M22" s="159"/>
      <c r="N22" s="159"/>
      <c r="O22" s="159"/>
      <c r="Q22" s="80">
        <v>2</v>
      </c>
      <c r="R22" s="77" t="s">
        <v>155</v>
      </c>
      <c r="S22" s="77" t="s">
        <v>289</v>
      </c>
      <c r="T22" s="78">
        <v>2</v>
      </c>
      <c r="U22" s="78">
        <v>2</v>
      </c>
      <c r="V22" s="77" t="s">
        <v>287</v>
      </c>
      <c r="W22" s="200"/>
      <c r="X22" s="200"/>
      <c r="Y22" s="200">
        <v>1984</v>
      </c>
      <c r="Z22" s="200">
        <v>1984</v>
      </c>
    </row>
    <row r="23" spans="1:26">
      <c r="A23" s="171" t="s">
        <v>261</v>
      </c>
      <c r="F23" s="160">
        <v>2</v>
      </c>
      <c r="G23" s="161" t="s">
        <v>155</v>
      </c>
      <c r="H23" s="167" t="s">
        <v>78</v>
      </c>
      <c r="I23" s="162">
        <v>0.02</v>
      </c>
      <c r="J23" s="162">
        <v>0.1</v>
      </c>
      <c r="K23" s="159"/>
      <c r="L23" s="159"/>
      <c r="M23" s="159"/>
      <c r="N23" s="159"/>
      <c r="O23" s="159"/>
      <c r="Q23" s="80">
        <v>2</v>
      </c>
      <c r="R23" s="77" t="s">
        <v>155</v>
      </c>
      <c r="S23" s="77" t="s">
        <v>109</v>
      </c>
      <c r="T23" s="78">
        <v>2</v>
      </c>
      <c r="U23" s="78">
        <v>2</v>
      </c>
      <c r="V23" s="77" t="s">
        <v>288</v>
      </c>
      <c r="W23" s="200"/>
      <c r="X23" s="200"/>
      <c r="Y23" s="200">
        <v>1985</v>
      </c>
      <c r="Z23" s="200">
        <v>1985</v>
      </c>
    </row>
    <row r="24" spans="1:26">
      <c r="A24" s="171" t="s">
        <v>260</v>
      </c>
      <c r="F24" s="160">
        <v>2</v>
      </c>
      <c r="G24" s="161" t="s">
        <v>155</v>
      </c>
      <c r="H24" s="167" t="s">
        <v>129</v>
      </c>
      <c r="I24" s="162">
        <v>0.14000000000000001</v>
      </c>
      <c r="J24" s="163">
        <v>0.18</v>
      </c>
      <c r="K24" s="159"/>
      <c r="L24" s="159"/>
      <c r="M24" s="159"/>
      <c r="N24" s="159">
        <v>1988</v>
      </c>
      <c r="O24" s="159">
        <v>1988</v>
      </c>
      <c r="Q24" s="80">
        <v>2.5</v>
      </c>
      <c r="R24" s="77" t="s">
        <v>156</v>
      </c>
      <c r="S24" s="77" t="s">
        <v>276</v>
      </c>
      <c r="T24" s="78">
        <v>0.4</v>
      </c>
      <c r="U24" s="78">
        <v>0.4</v>
      </c>
      <c r="V24" s="77"/>
      <c r="W24" s="200"/>
      <c r="X24" s="200"/>
      <c r="Y24" s="200"/>
      <c r="Z24" s="200"/>
    </row>
    <row r="25" spans="1:26">
      <c r="A25" s="171" t="s">
        <v>398</v>
      </c>
      <c r="B25" s="1"/>
      <c r="F25" s="160">
        <v>2</v>
      </c>
      <c r="G25" s="161" t="s">
        <v>155</v>
      </c>
      <c r="H25" s="167" t="s">
        <v>215</v>
      </c>
      <c r="I25" s="162">
        <v>0.01</v>
      </c>
      <c r="J25" s="163">
        <v>5.5E-2</v>
      </c>
      <c r="K25" s="159"/>
      <c r="L25" s="159"/>
      <c r="M25" s="159"/>
      <c r="N25" s="159">
        <v>1988</v>
      </c>
      <c r="O25" s="159">
        <v>1988</v>
      </c>
      <c r="Q25" s="79">
        <v>2.5</v>
      </c>
      <c r="R25" s="77" t="s">
        <v>156</v>
      </c>
      <c r="S25" s="77" t="s">
        <v>153</v>
      </c>
      <c r="T25" s="78">
        <v>0.4</v>
      </c>
      <c r="U25" s="78">
        <v>0.4</v>
      </c>
      <c r="V25" s="77"/>
      <c r="W25" s="200"/>
      <c r="X25" s="200"/>
      <c r="Y25" s="200"/>
      <c r="Z25" s="200"/>
    </row>
    <row r="26" spans="1:26">
      <c r="A26" s="171" t="s">
        <v>399</v>
      </c>
      <c r="B26" s="1"/>
      <c r="F26" s="160">
        <v>2</v>
      </c>
      <c r="G26" s="161" t="s">
        <v>155</v>
      </c>
      <c r="H26" s="167" t="s">
        <v>216</v>
      </c>
      <c r="I26" s="162">
        <v>0.01</v>
      </c>
      <c r="J26" s="163">
        <v>5.5E-2</v>
      </c>
      <c r="K26" s="159"/>
      <c r="L26" s="159"/>
      <c r="M26" s="159"/>
      <c r="N26" s="159"/>
      <c r="O26" s="159"/>
      <c r="Q26" s="80">
        <v>3</v>
      </c>
      <c r="R26" s="77" t="s">
        <v>158</v>
      </c>
      <c r="S26" s="77" t="s">
        <v>145</v>
      </c>
      <c r="T26" s="78">
        <v>1.75</v>
      </c>
      <c r="U26" s="78">
        <v>2</v>
      </c>
      <c r="V26" s="77" t="s">
        <v>187</v>
      </c>
      <c r="W26" s="200"/>
      <c r="X26" s="200"/>
      <c r="Y26" s="200">
        <v>1998</v>
      </c>
      <c r="Z26" s="200">
        <v>1998</v>
      </c>
    </row>
    <row r="27" spans="1:26">
      <c r="B27" s="1"/>
      <c r="F27" s="160">
        <v>2</v>
      </c>
      <c r="G27" s="161" t="s">
        <v>155</v>
      </c>
      <c r="H27" s="167" t="s">
        <v>212</v>
      </c>
      <c r="I27" s="162">
        <v>5.0000000000000001E-3</v>
      </c>
      <c r="J27" s="162">
        <v>5.0000000000000001E-3</v>
      </c>
      <c r="K27" s="159"/>
      <c r="L27" s="159"/>
      <c r="M27" s="159"/>
      <c r="N27" s="159"/>
      <c r="O27" s="159"/>
      <c r="Q27" s="80">
        <v>3</v>
      </c>
      <c r="R27" s="77" t="s">
        <v>158</v>
      </c>
      <c r="S27" s="77" t="s">
        <v>110</v>
      </c>
      <c r="T27" s="78">
        <v>1.75</v>
      </c>
      <c r="U27" s="78">
        <v>2</v>
      </c>
      <c r="V27" s="77"/>
      <c r="W27" s="200"/>
      <c r="X27" s="200"/>
      <c r="Y27" s="200">
        <v>1998</v>
      </c>
      <c r="Z27" s="200">
        <v>1998</v>
      </c>
    </row>
    <row r="28" spans="1:26">
      <c r="F28" s="160">
        <v>2</v>
      </c>
      <c r="G28" s="161" t="s">
        <v>155</v>
      </c>
      <c r="H28" s="167" t="s">
        <v>291</v>
      </c>
      <c r="I28" s="162">
        <v>0</v>
      </c>
      <c r="J28" s="162">
        <v>0</v>
      </c>
      <c r="K28" s="159"/>
      <c r="L28" s="159"/>
      <c r="M28" s="159"/>
      <c r="N28" s="159">
        <v>1997</v>
      </c>
      <c r="O28" s="159">
        <v>1997</v>
      </c>
      <c r="Q28" s="80">
        <v>3</v>
      </c>
      <c r="R28" s="77" t="s">
        <v>158</v>
      </c>
      <c r="S28" s="77" t="s">
        <v>112</v>
      </c>
      <c r="T28" s="78">
        <v>1.75</v>
      </c>
      <c r="U28" s="78">
        <v>2</v>
      </c>
      <c r="V28" s="77"/>
      <c r="W28" s="200"/>
      <c r="X28" s="200"/>
      <c r="Y28" s="200"/>
      <c r="Z28" s="200"/>
    </row>
    <row r="29" spans="1:26">
      <c r="F29" s="160">
        <v>2</v>
      </c>
      <c r="G29" s="161" t="s">
        <v>155</v>
      </c>
      <c r="H29" s="167" t="s">
        <v>292</v>
      </c>
      <c r="I29" s="162">
        <v>0</v>
      </c>
      <c r="J29" s="162">
        <v>0</v>
      </c>
      <c r="K29" s="159"/>
      <c r="L29" s="159"/>
      <c r="M29" s="159"/>
      <c r="N29" s="159">
        <v>1997</v>
      </c>
      <c r="O29" s="159">
        <v>1997</v>
      </c>
      <c r="Q29" s="80">
        <v>3</v>
      </c>
      <c r="R29" s="77" t="s">
        <v>158</v>
      </c>
      <c r="S29" s="77" t="s">
        <v>243</v>
      </c>
      <c r="T29" s="78">
        <v>0</v>
      </c>
      <c r="U29" s="78">
        <v>0</v>
      </c>
      <c r="V29" s="77"/>
      <c r="W29" s="200"/>
      <c r="X29" s="200"/>
      <c r="Y29" s="200"/>
      <c r="Z29" s="200"/>
    </row>
    <row r="30" spans="1:26">
      <c r="F30" s="160">
        <v>2</v>
      </c>
      <c r="G30" s="161" t="s">
        <v>155</v>
      </c>
      <c r="H30" s="167" t="s">
        <v>226</v>
      </c>
      <c r="I30" s="162">
        <v>5.0000000000000001E-3</v>
      </c>
      <c r="J30" s="162">
        <v>5.0000000000000001E-3</v>
      </c>
      <c r="K30" s="159"/>
      <c r="L30" s="159"/>
      <c r="M30" s="159"/>
      <c r="N30" s="159"/>
      <c r="O30" s="159"/>
      <c r="Q30" s="80">
        <v>3</v>
      </c>
      <c r="R30" s="77" t="s">
        <v>158</v>
      </c>
      <c r="S30" s="77" t="s">
        <v>113</v>
      </c>
      <c r="T30" s="78">
        <v>0</v>
      </c>
      <c r="U30" s="78">
        <v>0</v>
      </c>
      <c r="V30" s="77"/>
      <c r="W30" s="200"/>
      <c r="X30" s="200"/>
      <c r="Y30" s="200"/>
      <c r="Z30" s="200"/>
    </row>
    <row r="31" spans="1:26">
      <c r="F31" s="160">
        <v>2</v>
      </c>
      <c r="G31" s="161" t="s">
        <v>155</v>
      </c>
      <c r="H31" s="167" t="s">
        <v>211</v>
      </c>
      <c r="I31" s="162">
        <v>1.2E-2</v>
      </c>
      <c r="J31" s="162">
        <v>5.7000000000000002E-2</v>
      </c>
      <c r="K31" s="159"/>
      <c r="L31" s="159"/>
      <c r="M31" s="159"/>
      <c r="N31" s="159"/>
      <c r="O31" s="159"/>
      <c r="Q31" s="80">
        <v>3</v>
      </c>
      <c r="R31" s="77" t="s">
        <v>158</v>
      </c>
      <c r="S31" s="77" t="s">
        <v>152</v>
      </c>
      <c r="T31" s="78">
        <v>0.4</v>
      </c>
      <c r="U31" s="78">
        <v>0.4</v>
      </c>
      <c r="V31" s="77"/>
      <c r="W31" s="200"/>
      <c r="X31" s="200"/>
      <c r="Y31" s="200"/>
      <c r="Z31" s="200"/>
    </row>
    <row r="32" spans="1:26">
      <c r="F32" s="160">
        <v>2</v>
      </c>
      <c r="G32" s="168" t="s">
        <v>155</v>
      </c>
      <c r="H32" s="167" t="s">
        <v>312</v>
      </c>
      <c r="I32" s="162">
        <v>2.7E-2</v>
      </c>
      <c r="J32" s="160">
        <v>2.7E-2</v>
      </c>
      <c r="K32" s="159"/>
      <c r="L32" s="159"/>
      <c r="M32" s="159"/>
      <c r="N32" s="159">
        <v>1984</v>
      </c>
      <c r="O32" s="159">
        <v>1984</v>
      </c>
      <c r="Q32" s="80">
        <v>3</v>
      </c>
      <c r="R32" s="77" t="s">
        <v>158</v>
      </c>
      <c r="S32" s="77" t="s">
        <v>131</v>
      </c>
      <c r="T32" s="78">
        <v>2</v>
      </c>
      <c r="U32" s="78">
        <v>2</v>
      </c>
      <c r="V32" s="77"/>
      <c r="W32" s="200"/>
      <c r="X32" s="200"/>
      <c r="Y32" s="200">
        <v>2002</v>
      </c>
      <c r="Z32" s="200"/>
    </row>
    <row r="33" spans="6:26">
      <c r="F33" s="160">
        <v>2</v>
      </c>
      <c r="G33" s="168" t="s">
        <v>155</v>
      </c>
      <c r="H33" s="167" t="s">
        <v>98</v>
      </c>
      <c r="I33" s="162">
        <v>0.02</v>
      </c>
      <c r="J33" s="160">
        <v>0.06</v>
      </c>
      <c r="K33" s="159"/>
      <c r="L33" s="159"/>
      <c r="M33" s="159"/>
      <c r="N33" s="159"/>
      <c r="O33" s="159"/>
      <c r="Q33" s="80">
        <v>3</v>
      </c>
      <c r="R33" s="77" t="s">
        <v>158</v>
      </c>
      <c r="S33" s="77" t="s">
        <v>126</v>
      </c>
      <c r="T33" s="78">
        <v>1.75</v>
      </c>
      <c r="U33" s="78">
        <v>2.5</v>
      </c>
      <c r="V33" s="77" t="s">
        <v>186</v>
      </c>
      <c r="W33" s="200"/>
      <c r="X33" s="200"/>
      <c r="Y33" s="200"/>
      <c r="Z33" s="200"/>
    </row>
    <row r="34" spans="6:26">
      <c r="F34" s="160">
        <v>2</v>
      </c>
      <c r="G34" s="168" t="s">
        <v>155</v>
      </c>
      <c r="H34" s="167" t="s">
        <v>217</v>
      </c>
      <c r="I34" s="162">
        <v>0.02</v>
      </c>
      <c r="J34" s="160">
        <v>0.06</v>
      </c>
      <c r="K34" s="159"/>
      <c r="L34" s="159"/>
      <c r="M34" s="159"/>
      <c r="N34" s="159">
        <v>1988</v>
      </c>
      <c r="O34" s="159">
        <v>1988</v>
      </c>
      <c r="Q34" s="80">
        <v>3</v>
      </c>
      <c r="R34" s="77" t="s">
        <v>158</v>
      </c>
      <c r="S34" s="77" t="s">
        <v>111</v>
      </c>
      <c r="T34" s="78">
        <v>1.75</v>
      </c>
      <c r="U34" s="78">
        <v>2</v>
      </c>
      <c r="V34" s="77"/>
      <c r="W34" s="200"/>
      <c r="X34" s="200"/>
      <c r="Y34" s="200"/>
      <c r="Z34" s="200">
        <v>1998</v>
      </c>
    </row>
    <row r="35" spans="6:26">
      <c r="F35" s="160">
        <v>2</v>
      </c>
      <c r="G35" s="168" t="s">
        <v>155</v>
      </c>
      <c r="H35" s="167" t="s">
        <v>300</v>
      </c>
      <c r="I35" s="162">
        <v>2.5000000000000001E-2</v>
      </c>
      <c r="J35" s="160">
        <v>0.1</v>
      </c>
      <c r="K35" s="159"/>
      <c r="L35" s="159"/>
      <c r="M35" s="159"/>
      <c r="N35" s="159">
        <v>1988</v>
      </c>
      <c r="O35" s="159">
        <v>1988</v>
      </c>
      <c r="Q35" s="80">
        <v>4</v>
      </c>
      <c r="R35" s="77" t="s">
        <v>160</v>
      </c>
      <c r="S35" s="77" t="s">
        <v>38</v>
      </c>
      <c r="T35" s="78">
        <v>1.2</v>
      </c>
      <c r="U35" s="78">
        <v>2</v>
      </c>
      <c r="V35" s="77" t="s">
        <v>185</v>
      </c>
      <c r="W35" s="200"/>
      <c r="X35" s="200"/>
      <c r="Y35" s="200"/>
      <c r="Z35" s="200"/>
    </row>
    <row r="36" spans="6:26">
      <c r="F36" s="160">
        <v>2</v>
      </c>
      <c r="G36" s="168" t="s">
        <v>155</v>
      </c>
      <c r="H36" s="167" t="s">
        <v>92</v>
      </c>
      <c r="I36" s="162">
        <v>0.05</v>
      </c>
      <c r="J36" s="160">
        <v>0.15</v>
      </c>
      <c r="K36" s="159"/>
      <c r="L36" s="159"/>
      <c r="M36" s="159"/>
      <c r="N36" s="159"/>
      <c r="O36" s="159"/>
      <c r="Q36" s="80">
        <v>4</v>
      </c>
      <c r="R36" s="77" t="s">
        <v>160</v>
      </c>
      <c r="S36" s="77" t="s">
        <v>181</v>
      </c>
      <c r="T36" s="78">
        <v>1.2</v>
      </c>
      <c r="U36" s="78">
        <v>2</v>
      </c>
      <c r="V36" s="77" t="s">
        <v>185</v>
      </c>
      <c r="W36" s="200"/>
      <c r="X36" s="200"/>
      <c r="Y36" s="200"/>
      <c r="Z36" s="200"/>
    </row>
    <row r="37" spans="6:26">
      <c r="F37" s="160">
        <v>2</v>
      </c>
      <c r="G37" s="168" t="s">
        <v>155</v>
      </c>
      <c r="H37" s="167" t="s">
        <v>56</v>
      </c>
      <c r="I37" s="162">
        <v>1.2E-2</v>
      </c>
      <c r="J37" s="160">
        <v>5.7000000000000002E-2</v>
      </c>
      <c r="K37" s="159"/>
      <c r="L37" s="159"/>
      <c r="M37" s="159"/>
      <c r="N37" s="159">
        <v>1982</v>
      </c>
      <c r="O37" s="159">
        <v>1982</v>
      </c>
      <c r="Q37" s="80">
        <v>4</v>
      </c>
      <c r="R37" s="77" t="s">
        <v>160</v>
      </c>
      <c r="S37" s="77" t="s">
        <v>184</v>
      </c>
      <c r="T37" s="78">
        <v>1.2</v>
      </c>
      <c r="U37" s="78">
        <v>2</v>
      </c>
      <c r="V37" s="77" t="s">
        <v>185</v>
      </c>
      <c r="W37" s="200"/>
      <c r="X37" s="200"/>
      <c r="Y37" s="200"/>
      <c r="Z37" s="200"/>
    </row>
    <row r="38" spans="6:26">
      <c r="F38" s="160">
        <v>2</v>
      </c>
      <c r="G38" s="168" t="s">
        <v>155</v>
      </c>
      <c r="H38" s="167" t="s">
        <v>57</v>
      </c>
      <c r="I38" s="162">
        <v>1.4999999999999999E-2</v>
      </c>
      <c r="J38" s="160">
        <v>0.06</v>
      </c>
      <c r="K38" s="159"/>
      <c r="L38" s="159"/>
      <c r="M38" s="159"/>
      <c r="N38" s="159">
        <v>1983</v>
      </c>
      <c r="O38" s="159">
        <v>1983</v>
      </c>
      <c r="Q38" s="80">
        <v>4</v>
      </c>
      <c r="R38" s="77" t="s">
        <v>160</v>
      </c>
      <c r="S38" s="77" t="s">
        <v>32</v>
      </c>
      <c r="T38" s="78">
        <v>0.4</v>
      </c>
      <c r="U38" s="78">
        <v>0.4</v>
      </c>
      <c r="V38" s="77"/>
      <c r="W38" s="200"/>
      <c r="X38" s="200"/>
      <c r="Y38" s="200"/>
      <c r="Z38" s="200"/>
    </row>
    <row r="39" spans="6:26">
      <c r="F39" s="160">
        <v>2</v>
      </c>
      <c r="G39" s="168" t="s">
        <v>155</v>
      </c>
      <c r="H39" s="167" t="s">
        <v>301</v>
      </c>
      <c r="I39" s="162">
        <v>1.4999999999999999E-2</v>
      </c>
      <c r="J39" s="160">
        <v>1.4999999999999999E-2</v>
      </c>
      <c r="K39" s="159"/>
      <c r="L39" s="159"/>
      <c r="M39" s="159"/>
      <c r="N39" s="159">
        <v>1984</v>
      </c>
      <c r="O39" s="159">
        <v>1984</v>
      </c>
      <c r="Q39" s="80">
        <v>4</v>
      </c>
      <c r="R39" s="77" t="s">
        <v>160</v>
      </c>
      <c r="S39" s="77" t="s">
        <v>180</v>
      </c>
      <c r="T39" s="78">
        <v>1.2</v>
      </c>
      <c r="U39" s="78">
        <v>2</v>
      </c>
      <c r="V39" s="77" t="s">
        <v>185</v>
      </c>
      <c r="W39" s="200"/>
      <c r="X39" s="200"/>
      <c r="Y39" s="200"/>
      <c r="Z39" s="200"/>
    </row>
    <row r="40" spans="6:26">
      <c r="F40" s="160">
        <v>2</v>
      </c>
      <c r="G40" s="168" t="s">
        <v>155</v>
      </c>
      <c r="H40" s="167" t="s">
        <v>143</v>
      </c>
      <c r="I40" s="162">
        <v>0.05</v>
      </c>
      <c r="J40" s="160">
        <v>0.05</v>
      </c>
      <c r="K40" s="159"/>
      <c r="L40" s="159"/>
      <c r="M40" s="159"/>
      <c r="N40" s="159">
        <v>1984</v>
      </c>
      <c r="O40" s="159">
        <v>1984</v>
      </c>
      <c r="Q40" s="80">
        <v>4</v>
      </c>
      <c r="R40" s="77" t="s">
        <v>160</v>
      </c>
      <c r="S40" s="77" t="s">
        <v>182</v>
      </c>
      <c r="T40" s="78">
        <v>1.2</v>
      </c>
      <c r="U40" s="78">
        <v>2</v>
      </c>
      <c r="V40" s="77" t="s">
        <v>185</v>
      </c>
      <c r="W40" s="200"/>
      <c r="X40" s="200"/>
      <c r="Y40" s="200"/>
      <c r="Z40" s="200"/>
    </row>
    <row r="41" spans="6:26">
      <c r="F41" s="160">
        <v>2</v>
      </c>
      <c r="G41" s="168" t="s">
        <v>155</v>
      </c>
      <c r="H41" s="167" t="s">
        <v>151</v>
      </c>
      <c r="I41" s="162">
        <v>1.4999999999999999E-2</v>
      </c>
      <c r="J41" s="160">
        <v>2.5000000000000001E-2</v>
      </c>
      <c r="K41" s="159"/>
      <c r="L41" s="159"/>
      <c r="M41" s="159"/>
      <c r="N41" s="159"/>
      <c r="O41" s="159"/>
      <c r="Q41" s="80">
        <v>4</v>
      </c>
      <c r="R41" s="77" t="s">
        <v>160</v>
      </c>
      <c r="S41" s="77" t="s">
        <v>42</v>
      </c>
      <c r="T41" s="78">
        <v>1.2</v>
      </c>
      <c r="U41" s="78">
        <v>2</v>
      </c>
      <c r="V41" s="77" t="s">
        <v>185</v>
      </c>
      <c r="W41" s="200"/>
      <c r="X41" s="200"/>
      <c r="Y41" s="200"/>
      <c r="Z41" s="200"/>
    </row>
    <row r="42" spans="6:26">
      <c r="F42" s="160">
        <v>2.5</v>
      </c>
      <c r="G42" s="168" t="s">
        <v>155</v>
      </c>
      <c r="H42" s="167" t="s">
        <v>205</v>
      </c>
      <c r="I42" s="162">
        <v>2.5000000000000001E-2</v>
      </c>
      <c r="J42" s="162">
        <v>0.05</v>
      </c>
      <c r="K42" s="159"/>
      <c r="L42" s="159"/>
      <c r="M42" s="159"/>
      <c r="N42" s="159"/>
      <c r="O42" s="159"/>
      <c r="Q42" s="80">
        <v>5</v>
      </c>
      <c r="R42" s="77" t="s">
        <v>192</v>
      </c>
      <c r="S42" s="16" t="s">
        <v>47</v>
      </c>
      <c r="T42" s="78">
        <v>0.4</v>
      </c>
      <c r="U42" s="78">
        <v>0.8</v>
      </c>
      <c r="V42" s="77" t="s">
        <v>183</v>
      </c>
      <c r="W42" s="200"/>
      <c r="X42" s="200"/>
      <c r="Y42" s="200"/>
      <c r="Z42" s="200"/>
    </row>
    <row r="43" spans="6:26">
      <c r="F43" s="160">
        <v>2.5</v>
      </c>
      <c r="G43" s="161" t="s">
        <v>155</v>
      </c>
      <c r="H43" s="167" t="s">
        <v>58</v>
      </c>
      <c r="I43" s="163">
        <v>2.5000000000000001E-2</v>
      </c>
      <c r="J43" s="162">
        <v>0.05</v>
      </c>
      <c r="K43" s="159"/>
      <c r="L43" s="159"/>
      <c r="M43" s="159"/>
      <c r="N43" s="159">
        <v>1996</v>
      </c>
      <c r="O43" s="159"/>
      <c r="Q43" s="80">
        <v>5</v>
      </c>
      <c r="R43" s="77" t="s">
        <v>192</v>
      </c>
      <c r="S43" s="16" t="s">
        <v>49</v>
      </c>
      <c r="T43" s="78">
        <v>7.0000000000000007E-2</v>
      </c>
      <c r="U43" s="78">
        <v>7.0000000000000007E-2</v>
      </c>
      <c r="V43" s="77" t="s">
        <v>183</v>
      </c>
      <c r="W43" s="200"/>
      <c r="X43" s="200"/>
      <c r="Y43" s="200"/>
      <c r="Z43" s="200"/>
    </row>
    <row r="44" spans="6:26">
      <c r="F44" s="160">
        <v>2.5</v>
      </c>
      <c r="G44" s="161" t="s">
        <v>155</v>
      </c>
      <c r="H44" s="167" t="s">
        <v>137</v>
      </c>
      <c r="I44" s="162">
        <v>3.5000000000000003E-2</v>
      </c>
      <c r="J44" s="162">
        <v>0.06</v>
      </c>
      <c r="K44" s="159"/>
      <c r="L44" s="159"/>
      <c r="M44" s="159"/>
      <c r="N44" s="159"/>
      <c r="O44" s="159"/>
      <c r="Q44" s="80">
        <v>5</v>
      </c>
      <c r="R44" s="77" t="s">
        <v>192</v>
      </c>
      <c r="S44" s="16" t="s">
        <v>51</v>
      </c>
      <c r="T44" s="78">
        <v>0.15</v>
      </c>
      <c r="U44" s="78">
        <v>0.15</v>
      </c>
      <c r="V44" s="77" t="s">
        <v>183</v>
      </c>
      <c r="W44" s="200"/>
      <c r="X44" s="200"/>
      <c r="Y44" s="200"/>
      <c r="Z44" s="200"/>
    </row>
    <row r="45" spans="6:26">
      <c r="F45" s="160">
        <v>2.5</v>
      </c>
      <c r="G45" s="161" t="s">
        <v>155</v>
      </c>
      <c r="H45" s="167" t="s">
        <v>97</v>
      </c>
      <c r="I45" s="163">
        <v>2.5000000000000001E-2</v>
      </c>
      <c r="J45" s="162">
        <v>2.5000000000000001E-2</v>
      </c>
      <c r="K45" s="159"/>
      <c r="L45" s="159"/>
      <c r="M45" s="159"/>
      <c r="N45" s="159"/>
      <c r="O45" s="159"/>
      <c r="Q45" s="80">
        <v>5</v>
      </c>
      <c r="R45" s="77" t="s">
        <v>192</v>
      </c>
      <c r="S45" s="16" t="s">
        <v>53</v>
      </c>
      <c r="T45" s="78">
        <v>0.25</v>
      </c>
      <c r="U45" s="78">
        <v>0.5</v>
      </c>
      <c r="V45" s="77" t="s">
        <v>183</v>
      </c>
      <c r="W45" s="200"/>
      <c r="X45" s="200"/>
      <c r="Y45" s="200"/>
      <c r="Z45" s="200"/>
    </row>
    <row r="46" spans="6:26">
      <c r="F46" s="160">
        <v>3</v>
      </c>
      <c r="G46" s="161" t="s">
        <v>158</v>
      </c>
      <c r="H46" s="167" t="s">
        <v>102</v>
      </c>
      <c r="I46" s="162">
        <v>6.5000000000000002E-2</v>
      </c>
      <c r="J46" s="162">
        <v>0.12</v>
      </c>
      <c r="K46" s="159"/>
      <c r="L46" s="159"/>
      <c r="M46" s="159"/>
      <c r="N46" s="159">
        <v>1994</v>
      </c>
      <c r="O46" s="159">
        <v>1994</v>
      </c>
      <c r="W46" s="202"/>
      <c r="X46" s="203"/>
      <c r="Y46" s="1"/>
    </row>
    <row r="47" spans="6:26">
      <c r="F47" s="160">
        <v>3</v>
      </c>
      <c r="G47" s="168" t="s">
        <v>158</v>
      </c>
      <c r="H47" s="160" t="s">
        <v>224</v>
      </c>
      <c r="I47" s="162">
        <v>0.04</v>
      </c>
      <c r="J47" s="162">
        <v>0.04</v>
      </c>
      <c r="K47" s="159"/>
      <c r="L47" s="159"/>
      <c r="M47" s="159"/>
      <c r="N47" s="159"/>
      <c r="O47" s="159"/>
      <c r="W47" s="202"/>
      <c r="X47" s="1"/>
      <c r="Y47" s="1"/>
    </row>
    <row r="48" spans="6:26">
      <c r="F48" s="160">
        <v>3</v>
      </c>
      <c r="G48" s="161" t="s">
        <v>158</v>
      </c>
      <c r="H48" s="167" t="s">
        <v>177</v>
      </c>
      <c r="I48" s="162">
        <v>0.03</v>
      </c>
      <c r="J48" s="162">
        <v>0.03</v>
      </c>
      <c r="K48" s="159"/>
      <c r="L48" s="159"/>
      <c r="M48" s="159"/>
      <c r="N48" s="159"/>
      <c r="O48" s="159"/>
      <c r="U48"/>
      <c r="W48" s="202"/>
      <c r="X48" s="1"/>
      <c r="Y48" s="1"/>
    </row>
    <row r="49" spans="6:26">
      <c r="F49" s="160">
        <v>3</v>
      </c>
      <c r="G49" s="161" t="s">
        <v>158</v>
      </c>
      <c r="H49" s="167" t="s">
        <v>136</v>
      </c>
      <c r="I49" s="162">
        <v>0.04</v>
      </c>
      <c r="J49" s="162">
        <v>0.06</v>
      </c>
      <c r="K49" s="159"/>
      <c r="L49" s="159"/>
      <c r="M49" s="159"/>
      <c r="N49" s="159">
        <v>2000</v>
      </c>
      <c r="O49" s="159"/>
      <c r="U49"/>
      <c r="W49" s="202"/>
      <c r="X49" s="1"/>
      <c r="Y49" s="1"/>
    </row>
    <row r="50" spans="6:26">
      <c r="F50" s="160">
        <v>3</v>
      </c>
      <c r="G50" s="161" t="s">
        <v>158</v>
      </c>
      <c r="H50" s="167" t="s">
        <v>303</v>
      </c>
      <c r="I50" s="162">
        <v>0.04</v>
      </c>
      <c r="J50" s="162">
        <v>0.06</v>
      </c>
      <c r="K50" s="159"/>
      <c r="L50" s="159"/>
      <c r="M50" s="159"/>
      <c r="N50" s="159">
        <v>2002</v>
      </c>
      <c r="O50" s="159"/>
    </row>
    <row r="51" spans="6:26">
      <c r="F51" s="160">
        <v>3</v>
      </c>
      <c r="G51" s="161" t="s">
        <v>158</v>
      </c>
      <c r="H51" s="167" t="s">
        <v>133</v>
      </c>
      <c r="I51" s="162">
        <v>0.01</v>
      </c>
      <c r="J51" s="162">
        <v>0.08</v>
      </c>
      <c r="K51" s="159"/>
      <c r="L51" s="159"/>
      <c r="M51" s="159"/>
      <c r="N51" s="159"/>
      <c r="O51" s="159"/>
    </row>
    <row r="52" spans="6:26">
      <c r="F52" s="160">
        <v>3</v>
      </c>
      <c r="G52" s="161" t="s">
        <v>158</v>
      </c>
      <c r="H52" s="167" t="s">
        <v>293</v>
      </c>
      <c r="I52" s="162">
        <v>0.05</v>
      </c>
      <c r="J52" s="162">
        <v>0.05</v>
      </c>
      <c r="K52" s="159"/>
      <c r="L52" s="159"/>
      <c r="M52" s="159"/>
      <c r="N52" s="159">
        <v>1991</v>
      </c>
      <c r="O52" s="159">
        <v>1991</v>
      </c>
    </row>
    <row r="53" spans="6:26">
      <c r="F53" s="160">
        <v>3</v>
      </c>
      <c r="G53" s="161" t="s">
        <v>158</v>
      </c>
      <c r="H53" s="167" t="s">
        <v>79</v>
      </c>
      <c r="I53" s="163">
        <v>0.09</v>
      </c>
      <c r="J53" s="162">
        <v>0.1</v>
      </c>
      <c r="K53" s="159"/>
      <c r="L53" s="159"/>
      <c r="M53" s="159"/>
      <c r="N53" s="159">
        <v>1999</v>
      </c>
      <c r="O53" s="159">
        <v>1999</v>
      </c>
    </row>
    <row r="54" spans="6:26">
      <c r="F54" s="160">
        <v>3</v>
      </c>
      <c r="G54" s="161" t="s">
        <v>158</v>
      </c>
      <c r="H54" s="167" t="s">
        <v>80</v>
      </c>
      <c r="I54" s="163">
        <v>0.09</v>
      </c>
      <c r="J54" s="162">
        <v>0.1</v>
      </c>
      <c r="K54" s="159"/>
      <c r="L54" s="159"/>
      <c r="M54" s="159"/>
      <c r="N54" s="159">
        <v>2000</v>
      </c>
      <c r="O54" s="159">
        <v>2000</v>
      </c>
    </row>
    <row r="55" spans="6:26">
      <c r="F55" s="160">
        <v>3</v>
      </c>
      <c r="G55" s="161" t="s">
        <v>158</v>
      </c>
      <c r="H55" s="167" t="s">
        <v>83</v>
      </c>
      <c r="I55" s="163">
        <v>0.01</v>
      </c>
      <c r="J55" s="163">
        <v>0.03</v>
      </c>
      <c r="K55" s="159"/>
      <c r="L55" s="159"/>
      <c r="M55" s="159"/>
      <c r="N55" s="159">
        <v>2000</v>
      </c>
      <c r="O55" s="159"/>
    </row>
    <row r="56" spans="6:26">
      <c r="F56" s="160">
        <v>3</v>
      </c>
      <c r="G56" s="161" t="s">
        <v>158</v>
      </c>
      <c r="H56" s="167" t="s">
        <v>84</v>
      </c>
      <c r="I56" s="163">
        <v>0.01</v>
      </c>
      <c r="J56" s="163">
        <v>0.03</v>
      </c>
      <c r="K56" s="159"/>
      <c r="L56" s="159"/>
      <c r="M56" s="159"/>
      <c r="N56" s="159">
        <v>2000</v>
      </c>
      <c r="O56" s="159"/>
    </row>
    <row r="57" spans="6:26">
      <c r="F57" s="160">
        <v>3</v>
      </c>
      <c r="G57" s="161" t="s">
        <v>158</v>
      </c>
      <c r="H57" s="167" t="s">
        <v>114</v>
      </c>
      <c r="I57" s="163">
        <v>0</v>
      </c>
      <c r="J57" s="163">
        <v>0</v>
      </c>
      <c r="K57" s="159"/>
      <c r="L57" s="159"/>
      <c r="M57" s="159"/>
      <c r="N57" s="159"/>
      <c r="O57" s="159"/>
    </row>
    <row r="58" spans="6:26">
      <c r="F58" s="160">
        <v>3</v>
      </c>
      <c r="G58" s="161" t="s">
        <v>158</v>
      </c>
      <c r="H58" s="167" t="s">
        <v>113</v>
      </c>
      <c r="I58" s="163">
        <v>0</v>
      </c>
      <c r="J58" s="163">
        <v>0</v>
      </c>
      <c r="K58" s="159"/>
      <c r="L58" s="159"/>
      <c r="M58" s="159"/>
      <c r="N58" s="159"/>
      <c r="O58" s="159"/>
    </row>
    <row r="59" spans="6:26">
      <c r="F59" s="160">
        <v>3</v>
      </c>
      <c r="G59" s="168" t="s">
        <v>158</v>
      </c>
      <c r="H59" s="160" t="s">
        <v>227</v>
      </c>
      <c r="I59" s="162">
        <v>5.0000000000000001E-3</v>
      </c>
      <c r="J59" s="162">
        <v>5.0000000000000001E-3</v>
      </c>
      <c r="K59" s="159"/>
      <c r="L59" s="159"/>
      <c r="M59" s="159"/>
      <c r="N59" s="159"/>
      <c r="O59" s="159"/>
    </row>
    <row r="60" spans="6:26">
      <c r="F60" s="160">
        <v>3</v>
      </c>
      <c r="G60" s="161" t="s">
        <v>158</v>
      </c>
      <c r="H60" s="167" t="s">
        <v>146</v>
      </c>
      <c r="I60" s="162">
        <v>0.08</v>
      </c>
      <c r="J60" s="162">
        <v>0.08</v>
      </c>
      <c r="K60" s="159"/>
      <c r="L60" s="159"/>
      <c r="M60" s="159"/>
      <c r="N60" s="159">
        <v>2001</v>
      </c>
      <c r="O60" s="159"/>
    </row>
    <row r="61" spans="6:26">
      <c r="F61" s="160">
        <v>3</v>
      </c>
      <c r="G61" s="161" t="s">
        <v>158</v>
      </c>
      <c r="H61" s="167" t="s">
        <v>90</v>
      </c>
      <c r="I61" s="163">
        <v>6.5000000000000002E-2</v>
      </c>
      <c r="J61" s="163">
        <v>0.12</v>
      </c>
      <c r="K61" s="159"/>
      <c r="L61" s="159"/>
      <c r="M61" s="159"/>
      <c r="N61" s="159">
        <v>1994</v>
      </c>
      <c r="O61" s="159">
        <v>1994</v>
      </c>
    </row>
    <row r="62" spans="6:26">
      <c r="F62" s="160">
        <v>3</v>
      </c>
      <c r="G62" s="161" t="s">
        <v>158</v>
      </c>
      <c r="H62" s="167" t="s">
        <v>74</v>
      </c>
      <c r="I62" s="163">
        <v>0.09</v>
      </c>
      <c r="J62" s="162">
        <v>0.15</v>
      </c>
      <c r="K62" s="159"/>
      <c r="L62" s="159"/>
      <c r="M62" s="159"/>
      <c r="N62" s="159">
        <v>1998</v>
      </c>
      <c r="O62" s="159">
        <v>1998</v>
      </c>
    </row>
    <row r="63" spans="6:26">
      <c r="F63" s="160">
        <v>3</v>
      </c>
      <c r="G63" s="161" t="s">
        <v>158</v>
      </c>
      <c r="H63" s="167" t="s">
        <v>178</v>
      </c>
      <c r="I63" s="162">
        <v>0.03</v>
      </c>
      <c r="J63" s="162">
        <v>0.03</v>
      </c>
      <c r="K63" s="159"/>
      <c r="L63" s="159"/>
      <c r="M63" s="159"/>
      <c r="N63" s="159"/>
      <c r="O63" s="159"/>
      <c r="U63" s="1"/>
      <c r="V63" s="1"/>
      <c r="W63" s="202"/>
      <c r="X63" s="1"/>
      <c r="Y63" s="1"/>
      <c r="Z63" s="1"/>
    </row>
    <row r="64" spans="6:26">
      <c r="F64" s="160">
        <v>3</v>
      </c>
      <c r="G64" s="161" t="s">
        <v>158</v>
      </c>
      <c r="H64" s="167" t="s">
        <v>100</v>
      </c>
      <c r="I64" s="162">
        <v>0.05</v>
      </c>
      <c r="J64" s="162">
        <v>0.05</v>
      </c>
      <c r="K64" s="159"/>
      <c r="L64" s="159"/>
      <c r="M64" s="159"/>
      <c r="N64" s="159"/>
      <c r="O64" s="159"/>
      <c r="U64" s="1"/>
      <c r="V64" s="1"/>
      <c r="W64" s="202"/>
      <c r="X64" s="1"/>
      <c r="Y64" s="1"/>
      <c r="Z64" s="1"/>
    </row>
    <row r="65" spans="6:26">
      <c r="F65" s="160">
        <v>3</v>
      </c>
      <c r="G65" s="161" t="s">
        <v>158</v>
      </c>
      <c r="H65" s="167" t="s">
        <v>132</v>
      </c>
      <c r="I65" s="163">
        <v>1.4999999999999999E-2</v>
      </c>
      <c r="J65" s="163">
        <v>2.5000000000000001E-2</v>
      </c>
      <c r="K65" s="159"/>
      <c r="L65" s="159"/>
      <c r="M65" s="159"/>
      <c r="N65" s="159" t="s">
        <v>302</v>
      </c>
      <c r="O65" s="159" t="s">
        <v>302</v>
      </c>
      <c r="U65" s="1"/>
      <c r="V65" s="1"/>
      <c r="W65" s="202"/>
      <c r="X65" s="1"/>
      <c r="Y65" s="1"/>
      <c r="Z65" s="1"/>
    </row>
    <row r="66" spans="6:26">
      <c r="F66" s="160">
        <v>3</v>
      </c>
      <c r="G66" s="161" t="s">
        <v>158</v>
      </c>
      <c r="H66" s="167" t="s">
        <v>176</v>
      </c>
      <c r="I66" s="162">
        <v>0.03</v>
      </c>
      <c r="J66" s="162">
        <v>0.03</v>
      </c>
      <c r="K66" s="159"/>
      <c r="L66" s="159"/>
      <c r="M66" s="159"/>
      <c r="N66" s="159"/>
      <c r="O66" s="159"/>
      <c r="U66" s="1"/>
      <c r="V66" s="1"/>
      <c r="W66" s="202"/>
      <c r="X66" s="1"/>
      <c r="Y66" s="1"/>
      <c r="Z66" s="1"/>
    </row>
    <row r="67" spans="6:26">
      <c r="F67" s="160">
        <v>3.5</v>
      </c>
      <c r="G67" s="161" t="s">
        <v>158</v>
      </c>
      <c r="H67" s="167" t="s">
        <v>59</v>
      </c>
      <c r="I67" s="162">
        <v>2.5999999999999999E-2</v>
      </c>
      <c r="J67" s="162">
        <v>0.05</v>
      </c>
      <c r="K67" s="159"/>
      <c r="L67" s="159"/>
      <c r="M67" s="159"/>
      <c r="N67" s="159">
        <v>2005</v>
      </c>
      <c r="O67" s="159"/>
      <c r="U67" s="1"/>
      <c r="V67" s="1"/>
      <c r="W67" s="202"/>
      <c r="X67" s="1"/>
      <c r="Y67" s="1"/>
      <c r="Z67" s="1"/>
    </row>
    <row r="68" spans="6:26">
      <c r="F68" s="160">
        <v>3.5</v>
      </c>
      <c r="G68" s="161" t="s">
        <v>158</v>
      </c>
      <c r="H68" s="167" t="s">
        <v>173</v>
      </c>
      <c r="I68" s="162">
        <v>5.8000000000000003E-2</v>
      </c>
      <c r="J68" s="162">
        <v>7.4999999999999997E-2</v>
      </c>
      <c r="K68" s="159"/>
      <c r="L68" s="159"/>
      <c r="M68" s="159"/>
      <c r="N68" s="159">
        <v>2005</v>
      </c>
      <c r="O68" s="159"/>
      <c r="U68" s="1"/>
      <c r="V68" s="1"/>
      <c r="W68" s="202"/>
      <c r="X68" s="1"/>
      <c r="Y68" s="1"/>
      <c r="Z68" s="1"/>
    </row>
    <row r="69" spans="6:26">
      <c r="F69" s="160">
        <v>3.5</v>
      </c>
      <c r="G69" s="161" t="s">
        <v>158</v>
      </c>
      <c r="H69" s="167" t="s">
        <v>174</v>
      </c>
      <c r="I69" s="162">
        <v>5.8000000000000003E-2</v>
      </c>
      <c r="J69" s="162">
        <v>6.8000000000000005E-2</v>
      </c>
      <c r="K69" s="159"/>
      <c r="L69" s="159"/>
      <c r="M69" s="159"/>
      <c r="N69" s="159">
        <v>2005</v>
      </c>
      <c r="O69" s="159"/>
      <c r="U69" s="1"/>
      <c r="V69" s="1"/>
      <c r="W69" s="202"/>
      <c r="X69" s="1"/>
      <c r="Y69" s="1"/>
      <c r="Z69" s="1"/>
    </row>
    <row r="70" spans="6:26">
      <c r="F70" s="160">
        <v>3.75</v>
      </c>
      <c r="G70" s="161" t="s">
        <v>156</v>
      </c>
      <c r="H70" s="167" t="s">
        <v>55</v>
      </c>
      <c r="I70" s="162">
        <v>0.01</v>
      </c>
      <c r="J70" s="162">
        <v>0.01</v>
      </c>
      <c r="K70" s="159"/>
      <c r="L70" s="159"/>
      <c r="M70" s="159"/>
      <c r="N70" s="159"/>
      <c r="O70" s="159"/>
      <c r="U70" s="1"/>
      <c r="V70" s="1"/>
      <c r="W70" s="202"/>
      <c r="X70" s="1"/>
      <c r="Y70" s="1"/>
      <c r="Z70" s="1"/>
    </row>
    <row r="71" spans="6:26">
      <c r="F71" s="160">
        <v>3.75</v>
      </c>
      <c r="G71" s="161" t="s">
        <v>156</v>
      </c>
      <c r="H71" s="167" t="s">
        <v>54</v>
      </c>
      <c r="I71" s="162">
        <v>0.01</v>
      </c>
      <c r="J71" s="162">
        <v>0.01</v>
      </c>
      <c r="K71" s="159"/>
      <c r="L71" s="159"/>
      <c r="M71" s="159"/>
      <c r="N71" s="159"/>
      <c r="O71" s="159"/>
      <c r="U71" s="1"/>
      <c r="V71" s="1"/>
      <c r="W71" s="202"/>
      <c r="X71" s="1"/>
      <c r="Y71" s="1"/>
      <c r="Z71" s="1"/>
    </row>
    <row r="72" spans="6:26">
      <c r="F72" s="160">
        <v>3.75</v>
      </c>
      <c r="G72" s="161" t="s">
        <v>156</v>
      </c>
      <c r="H72" s="160" t="s">
        <v>50</v>
      </c>
      <c r="I72" s="162">
        <v>0.01</v>
      </c>
      <c r="J72" s="162">
        <v>0.01</v>
      </c>
      <c r="K72" s="159"/>
      <c r="L72" s="159"/>
      <c r="M72" s="159"/>
      <c r="N72" s="159"/>
      <c r="O72" s="159"/>
      <c r="U72" s="1"/>
      <c r="V72" s="1"/>
      <c r="W72" s="202"/>
      <c r="X72" s="1"/>
      <c r="Y72" s="1"/>
      <c r="Z72" s="1"/>
    </row>
    <row r="73" spans="6:26">
      <c r="F73" s="160">
        <v>4</v>
      </c>
      <c r="G73" s="168" t="s">
        <v>160</v>
      </c>
      <c r="H73" s="160" t="s">
        <v>52</v>
      </c>
      <c r="I73" s="163">
        <v>0.1</v>
      </c>
      <c r="J73" s="162">
        <v>0.12</v>
      </c>
      <c r="K73" s="159"/>
      <c r="L73" s="159"/>
      <c r="M73" s="159"/>
      <c r="N73" s="159"/>
      <c r="O73" s="159"/>
      <c r="U73" s="1"/>
      <c r="V73" s="1"/>
      <c r="W73" s="202"/>
      <c r="X73" s="1"/>
      <c r="Y73" s="1"/>
      <c r="Z73" s="1"/>
    </row>
    <row r="74" spans="6:26">
      <c r="F74" s="160">
        <v>4</v>
      </c>
      <c r="G74" s="168" t="s">
        <v>160</v>
      </c>
      <c r="H74" s="160" t="s">
        <v>138</v>
      </c>
      <c r="I74" s="163">
        <v>1.7999999999999999E-2</v>
      </c>
      <c r="J74" s="162">
        <v>1.7999999999999999E-2</v>
      </c>
      <c r="K74" s="159"/>
      <c r="L74" s="159"/>
      <c r="M74" s="159">
        <v>2007</v>
      </c>
      <c r="N74" s="159"/>
      <c r="O74" s="159"/>
      <c r="U74" s="1"/>
      <c r="V74" s="1"/>
      <c r="W74" s="202"/>
      <c r="X74" s="1"/>
      <c r="Y74" s="1"/>
      <c r="Z74" s="1"/>
    </row>
    <row r="75" spans="6:26">
      <c r="F75" s="160">
        <v>4</v>
      </c>
      <c r="G75" s="168" t="s">
        <v>160</v>
      </c>
      <c r="H75" s="160" t="s">
        <v>48</v>
      </c>
      <c r="I75" s="163">
        <v>0.12</v>
      </c>
      <c r="J75" s="162">
        <v>0.15</v>
      </c>
      <c r="K75" s="159"/>
      <c r="L75" s="159"/>
      <c r="M75" s="159"/>
      <c r="N75" s="159"/>
      <c r="O75" s="159"/>
      <c r="U75" s="1"/>
      <c r="V75" s="1"/>
      <c r="W75" s="202"/>
      <c r="X75" s="1"/>
      <c r="Y75" s="1"/>
      <c r="Z75" s="1"/>
    </row>
    <row r="76" spans="6:26">
      <c r="F76" s="160">
        <v>4</v>
      </c>
      <c r="G76" s="168" t="s">
        <v>160</v>
      </c>
      <c r="H76" s="160" t="s">
        <v>34</v>
      </c>
      <c r="I76" s="163">
        <v>7.0000000000000007E-2</v>
      </c>
      <c r="J76" s="162">
        <v>0.08</v>
      </c>
      <c r="K76" s="159"/>
      <c r="L76" s="159"/>
      <c r="M76" s="159"/>
      <c r="N76" s="159"/>
      <c r="O76" s="159"/>
      <c r="U76" s="1"/>
      <c r="V76" s="1"/>
      <c r="W76" s="202"/>
      <c r="X76" s="1"/>
      <c r="Y76" s="1"/>
      <c r="Z76" s="1"/>
    </row>
    <row r="77" spans="6:26">
      <c r="F77" s="160">
        <v>4</v>
      </c>
      <c r="G77" s="168" t="s">
        <v>160</v>
      </c>
      <c r="H77" s="160" t="s">
        <v>36</v>
      </c>
      <c r="I77" s="163">
        <v>0.01</v>
      </c>
      <c r="J77" s="162">
        <v>0.09</v>
      </c>
      <c r="K77" s="159"/>
      <c r="L77" s="159"/>
      <c r="M77" s="159"/>
      <c r="N77" s="159"/>
      <c r="O77" s="159"/>
      <c r="U77" s="1"/>
      <c r="V77" s="1"/>
      <c r="W77" s="202"/>
      <c r="X77" s="1"/>
      <c r="Y77" s="1"/>
      <c r="Z77" s="1"/>
    </row>
    <row r="78" spans="6:26">
      <c r="F78" s="160">
        <v>4</v>
      </c>
      <c r="G78" s="168" t="s">
        <v>160</v>
      </c>
      <c r="H78" s="160" t="s">
        <v>28</v>
      </c>
      <c r="I78" s="164">
        <v>0.05</v>
      </c>
      <c r="J78" s="162">
        <v>0.1</v>
      </c>
      <c r="K78" s="159"/>
      <c r="L78" s="159"/>
      <c r="M78" s="159"/>
      <c r="N78" s="159"/>
      <c r="O78" s="159"/>
      <c r="U78" s="1"/>
      <c r="V78" s="1"/>
      <c r="W78" s="202"/>
      <c r="X78" s="1"/>
      <c r="Y78" s="1"/>
      <c r="Z78" s="1"/>
    </row>
    <row r="79" spans="6:26">
      <c r="F79" s="160">
        <v>4</v>
      </c>
      <c r="G79" s="168" t="s">
        <v>160</v>
      </c>
      <c r="H79" s="160" t="s">
        <v>31</v>
      </c>
      <c r="I79" s="164">
        <v>0.05</v>
      </c>
      <c r="J79" s="162">
        <v>0.1</v>
      </c>
      <c r="K79" s="159"/>
      <c r="L79" s="159"/>
      <c r="M79" s="159"/>
      <c r="N79" s="159"/>
      <c r="O79" s="159"/>
      <c r="U79" s="1"/>
      <c r="V79" s="1"/>
      <c r="W79" s="202"/>
      <c r="X79" s="1"/>
      <c r="Y79" s="1"/>
      <c r="Z79" s="1"/>
    </row>
    <row r="80" spans="6:26">
      <c r="F80" s="160">
        <v>4</v>
      </c>
      <c r="G80" s="168" t="s">
        <v>160</v>
      </c>
      <c r="H80" s="160" t="s">
        <v>35</v>
      </c>
      <c r="I80" s="163">
        <v>0.04</v>
      </c>
      <c r="J80" s="162">
        <v>0.05</v>
      </c>
      <c r="K80" s="159"/>
      <c r="L80" s="159"/>
      <c r="M80" s="159"/>
      <c r="N80" s="159"/>
      <c r="O80" s="159"/>
      <c r="U80" s="1"/>
      <c r="V80" s="1"/>
      <c r="W80" s="202"/>
      <c r="X80" s="1"/>
      <c r="Y80" s="1"/>
      <c r="Z80" s="1"/>
    </row>
    <row r="81" spans="6:26">
      <c r="F81" s="160">
        <v>4</v>
      </c>
      <c r="G81" s="168" t="s">
        <v>160</v>
      </c>
      <c r="H81" s="160" t="s">
        <v>23</v>
      </c>
      <c r="I81" s="163">
        <v>0.09</v>
      </c>
      <c r="J81" s="162">
        <v>0.11</v>
      </c>
      <c r="K81" s="159"/>
      <c r="L81" s="159"/>
      <c r="M81" s="159"/>
      <c r="N81" s="159"/>
      <c r="O81" s="159"/>
      <c r="U81" s="1"/>
      <c r="V81" s="1"/>
      <c r="W81" s="202"/>
      <c r="X81" s="1"/>
      <c r="Y81" s="1"/>
      <c r="Z81" s="1"/>
    </row>
    <row r="82" spans="6:26">
      <c r="F82" s="160">
        <v>4</v>
      </c>
      <c r="G82" s="168" t="s">
        <v>160</v>
      </c>
      <c r="H82" s="160" t="s">
        <v>25</v>
      </c>
      <c r="I82" s="163">
        <v>0.09</v>
      </c>
      <c r="J82" s="162">
        <v>0.11</v>
      </c>
      <c r="K82" s="159"/>
      <c r="L82" s="159"/>
      <c r="M82" s="159"/>
      <c r="N82" s="159"/>
      <c r="O82" s="159"/>
      <c r="U82" s="1"/>
      <c r="V82" s="1"/>
      <c r="W82" s="202"/>
      <c r="X82" s="1"/>
      <c r="Y82" s="1"/>
      <c r="Z82" s="1"/>
    </row>
    <row r="83" spans="6:26">
      <c r="F83" s="160">
        <v>4</v>
      </c>
      <c r="G83" s="168" t="s">
        <v>160</v>
      </c>
      <c r="H83" s="160" t="s">
        <v>209</v>
      </c>
      <c r="I83" s="163">
        <v>0.09</v>
      </c>
      <c r="J83" s="162">
        <v>0.11</v>
      </c>
      <c r="K83" s="159"/>
      <c r="L83" s="159"/>
      <c r="M83" s="159"/>
      <c r="N83" s="159"/>
      <c r="O83" s="159"/>
      <c r="U83" s="1"/>
      <c r="V83" s="1"/>
      <c r="W83" s="202"/>
      <c r="X83" s="1"/>
      <c r="Y83" s="1"/>
      <c r="Z83" s="1"/>
    </row>
    <row r="84" spans="6:26">
      <c r="F84" s="160">
        <v>4</v>
      </c>
      <c r="G84" s="168" t="s">
        <v>160</v>
      </c>
      <c r="H84" s="160" t="s">
        <v>46</v>
      </c>
      <c r="I84" s="163">
        <v>0.14000000000000001</v>
      </c>
      <c r="J84" s="162">
        <v>0.18</v>
      </c>
      <c r="K84" s="159"/>
      <c r="L84" s="159"/>
      <c r="M84" s="159"/>
      <c r="N84" s="159"/>
      <c r="O84" s="159"/>
      <c r="U84" s="1"/>
      <c r="V84" s="1"/>
      <c r="W84" s="202"/>
      <c r="X84" s="1"/>
      <c r="Y84" s="1"/>
      <c r="Z84" s="1"/>
    </row>
    <row r="85" spans="6:26">
      <c r="F85" s="160">
        <v>4</v>
      </c>
      <c r="G85" s="168" t="s">
        <v>160</v>
      </c>
      <c r="H85" s="169" t="s">
        <v>37</v>
      </c>
      <c r="I85" s="162">
        <v>5.0000000000000001E-3</v>
      </c>
      <c r="J85" s="162">
        <v>5.0000000000000001E-3</v>
      </c>
      <c r="K85" s="159"/>
      <c r="L85" s="159"/>
      <c r="M85" s="159"/>
      <c r="N85" s="159"/>
      <c r="O85" s="159"/>
      <c r="U85" s="1"/>
      <c r="V85" s="1"/>
      <c r="W85" s="202"/>
      <c r="X85" s="1"/>
      <c r="Y85" s="1"/>
      <c r="Z85" s="1"/>
    </row>
    <row r="86" spans="6:26">
      <c r="F86" s="160">
        <v>4</v>
      </c>
      <c r="G86" s="168" t="s">
        <v>160</v>
      </c>
      <c r="H86" s="160" t="s">
        <v>208</v>
      </c>
      <c r="I86" s="162">
        <v>0.09</v>
      </c>
      <c r="J86" s="162">
        <v>0.09</v>
      </c>
      <c r="K86" s="159"/>
      <c r="L86" s="159"/>
      <c r="M86" s="159"/>
      <c r="N86" s="159"/>
      <c r="O86" s="159"/>
      <c r="U86" s="1"/>
      <c r="V86" s="1"/>
      <c r="W86" s="202"/>
      <c r="X86" s="1"/>
      <c r="Y86" s="1"/>
      <c r="Z86" s="1"/>
    </row>
    <row r="87" spans="6:26">
      <c r="F87" s="160">
        <v>4</v>
      </c>
      <c r="G87" s="168" t="s">
        <v>160</v>
      </c>
      <c r="H87" s="160" t="s">
        <v>45</v>
      </c>
      <c r="I87" s="162">
        <v>0.09</v>
      </c>
      <c r="J87" s="162">
        <v>0.09</v>
      </c>
      <c r="K87" s="159"/>
      <c r="L87" s="159"/>
      <c r="M87" s="159"/>
      <c r="N87" s="159"/>
      <c r="O87" s="159"/>
      <c r="U87" s="1"/>
      <c r="V87" s="1"/>
      <c r="W87" s="202"/>
      <c r="X87" s="1"/>
      <c r="Y87" s="1"/>
      <c r="Z87" s="1"/>
    </row>
    <row r="88" spans="6:26">
      <c r="F88" s="160">
        <v>4</v>
      </c>
      <c r="G88" s="168" t="s">
        <v>160</v>
      </c>
      <c r="H88" s="160" t="s">
        <v>39</v>
      </c>
      <c r="I88" s="165">
        <v>0.08</v>
      </c>
      <c r="J88" s="165">
        <v>0.08</v>
      </c>
      <c r="K88" s="159"/>
      <c r="L88" s="159"/>
      <c r="M88" s="159">
        <v>2007</v>
      </c>
      <c r="N88" s="159"/>
      <c r="O88" s="159"/>
      <c r="U88" s="1"/>
      <c r="V88" s="152"/>
      <c r="W88" s="203"/>
      <c r="X88" s="152"/>
      <c r="Y88" s="152"/>
      <c r="Z88" s="152"/>
    </row>
    <row r="89" spans="6:26">
      <c r="F89" s="160">
        <v>4</v>
      </c>
      <c r="G89" s="168" t="s">
        <v>160</v>
      </c>
      <c r="H89" s="160" t="s">
        <v>21</v>
      </c>
      <c r="I89" s="163">
        <v>0.09</v>
      </c>
      <c r="J89" s="162">
        <v>0.11</v>
      </c>
      <c r="K89" s="159"/>
      <c r="L89" s="159"/>
      <c r="M89" s="159"/>
      <c r="N89" s="159"/>
      <c r="O89" s="159"/>
      <c r="U89" s="1"/>
      <c r="V89" s="1"/>
      <c r="W89" s="202"/>
      <c r="X89" s="1"/>
      <c r="Y89" s="1"/>
      <c r="Z89" s="1"/>
    </row>
    <row r="90" spans="6:26">
      <c r="F90" s="160">
        <v>4</v>
      </c>
      <c r="G90" s="168" t="s">
        <v>160</v>
      </c>
      <c r="H90" s="160" t="s">
        <v>22</v>
      </c>
      <c r="I90" s="163">
        <v>0.16500000000000001</v>
      </c>
      <c r="J90" s="162">
        <v>0.19500000000000001</v>
      </c>
      <c r="K90" s="159"/>
      <c r="L90" s="159"/>
      <c r="M90" s="159"/>
      <c r="N90" s="159"/>
      <c r="O90" s="159"/>
      <c r="U90" s="1"/>
      <c r="V90" s="1"/>
      <c r="W90" s="202"/>
      <c r="X90" s="1"/>
      <c r="Y90" s="1"/>
      <c r="Z90" s="1"/>
    </row>
    <row r="91" spans="6:26">
      <c r="F91" s="160">
        <v>4</v>
      </c>
      <c r="G91" s="168" t="s">
        <v>160</v>
      </c>
      <c r="H91" s="160" t="s">
        <v>18</v>
      </c>
      <c r="I91" s="163">
        <v>1.2E-2</v>
      </c>
      <c r="J91" s="162">
        <v>2.8000000000000001E-2</v>
      </c>
      <c r="K91" s="159"/>
      <c r="L91" s="159"/>
      <c r="M91" s="159"/>
      <c r="N91" s="159"/>
      <c r="O91" s="159"/>
      <c r="U91" s="1"/>
      <c r="V91" s="1"/>
      <c r="W91" s="202"/>
      <c r="X91" s="1"/>
      <c r="Y91" s="1"/>
      <c r="Z91" s="1"/>
    </row>
    <row r="92" spans="6:26">
      <c r="F92" s="160">
        <v>4</v>
      </c>
      <c r="G92" s="168" t="s">
        <v>160</v>
      </c>
      <c r="H92" s="160" t="s">
        <v>166</v>
      </c>
      <c r="I92" s="163">
        <v>2.5000000000000001E-2</v>
      </c>
      <c r="J92" s="162">
        <v>0.04</v>
      </c>
      <c r="K92" s="159"/>
      <c r="L92" s="159"/>
      <c r="M92" s="159"/>
      <c r="N92" s="159"/>
      <c r="O92" s="159"/>
      <c r="U92" s="1"/>
      <c r="V92" s="1"/>
      <c r="W92" s="202"/>
      <c r="X92" s="1"/>
      <c r="Y92" s="1"/>
      <c r="Z92" s="1"/>
    </row>
    <row r="93" spans="6:26">
      <c r="F93" s="160">
        <v>4</v>
      </c>
      <c r="G93" s="168" t="s">
        <v>160</v>
      </c>
      <c r="H93" s="160" t="s">
        <v>20</v>
      </c>
      <c r="I93" s="163">
        <v>2.5000000000000001E-2</v>
      </c>
      <c r="J93" s="162">
        <v>0.04</v>
      </c>
      <c r="K93" s="159"/>
      <c r="L93" s="159"/>
      <c r="M93" s="159"/>
      <c r="N93" s="159"/>
      <c r="O93" s="159"/>
      <c r="U93" s="1"/>
      <c r="V93" s="1"/>
      <c r="W93" s="202"/>
      <c r="X93" s="1"/>
      <c r="Y93" s="1"/>
      <c r="Z93" s="1"/>
    </row>
    <row r="94" spans="6:26">
      <c r="F94" s="160">
        <v>4</v>
      </c>
      <c r="G94" s="168" t="s">
        <v>160</v>
      </c>
      <c r="H94" s="160" t="s">
        <v>40</v>
      </c>
      <c r="I94" s="163">
        <v>0.04</v>
      </c>
      <c r="J94" s="162">
        <v>0.05</v>
      </c>
      <c r="K94" s="159"/>
      <c r="L94" s="159"/>
      <c r="M94" s="159">
        <v>2007</v>
      </c>
      <c r="N94" s="159"/>
      <c r="O94" s="159"/>
      <c r="U94" s="1"/>
      <c r="V94" s="1"/>
      <c r="W94" s="202"/>
      <c r="X94" s="1"/>
      <c r="Y94" s="1"/>
      <c r="Z94" s="1"/>
    </row>
    <row r="95" spans="6:26">
      <c r="F95" s="160">
        <v>4</v>
      </c>
      <c r="G95" s="168" t="s">
        <v>160</v>
      </c>
      <c r="H95" s="160" t="s">
        <v>41</v>
      </c>
      <c r="I95" s="163">
        <v>0.05</v>
      </c>
      <c r="J95" s="162">
        <v>0.06</v>
      </c>
      <c r="K95" s="159"/>
      <c r="L95" s="159"/>
      <c r="M95" s="159"/>
      <c r="N95" s="159"/>
      <c r="O95" s="159"/>
      <c r="U95" s="1"/>
      <c r="V95" s="1"/>
      <c r="W95" s="202"/>
      <c r="X95" s="1"/>
      <c r="Y95" s="1"/>
      <c r="Z95" s="1"/>
    </row>
    <row r="96" spans="6:26">
      <c r="F96" s="160">
        <v>4</v>
      </c>
      <c r="G96" s="168" t="s">
        <v>160</v>
      </c>
      <c r="H96" s="160" t="s">
        <v>43</v>
      </c>
      <c r="I96" s="162">
        <v>0.03</v>
      </c>
      <c r="J96" s="162">
        <v>0.03</v>
      </c>
      <c r="K96" s="159"/>
      <c r="L96" s="159"/>
      <c r="M96" s="159"/>
      <c r="N96" s="159"/>
      <c r="O96" s="159"/>
      <c r="U96" s="1"/>
      <c r="V96" s="1"/>
      <c r="W96" s="202"/>
      <c r="X96" s="1"/>
      <c r="Y96" s="1"/>
      <c r="Z96" s="1"/>
    </row>
    <row r="97" spans="6:26">
      <c r="F97" s="160">
        <v>4</v>
      </c>
      <c r="G97" s="168" t="s">
        <v>160</v>
      </c>
      <c r="H97" s="160" t="s">
        <v>254</v>
      </c>
      <c r="I97" s="162">
        <v>0.03</v>
      </c>
      <c r="J97" s="162">
        <v>0.03</v>
      </c>
      <c r="K97" s="159"/>
      <c r="L97" s="159"/>
      <c r="M97" s="159"/>
      <c r="N97" s="159"/>
      <c r="O97" s="159"/>
      <c r="U97" s="1"/>
      <c r="V97" s="1"/>
      <c r="W97" s="202"/>
      <c r="X97" s="1"/>
      <c r="Y97" s="1"/>
      <c r="Z97" s="1"/>
    </row>
    <row r="98" spans="6:26">
      <c r="F98" s="160">
        <v>5</v>
      </c>
      <c r="G98" s="168" t="s">
        <v>192</v>
      </c>
      <c r="H98" s="160" t="s">
        <v>222</v>
      </c>
      <c r="I98" s="162">
        <v>0.01</v>
      </c>
      <c r="J98" s="162">
        <v>0.01</v>
      </c>
      <c r="K98" s="159"/>
      <c r="L98" s="159"/>
      <c r="M98" s="159"/>
      <c r="N98" s="159"/>
      <c r="O98" s="159"/>
      <c r="U98" s="1"/>
      <c r="V98" s="1"/>
      <c r="W98" s="202"/>
      <c r="X98" s="1"/>
      <c r="Y98" s="1"/>
      <c r="Z98" s="1"/>
    </row>
    <row r="99" spans="6:26">
      <c r="F99" s="160">
        <v>5</v>
      </c>
      <c r="G99" s="168" t="s">
        <v>192</v>
      </c>
      <c r="H99" s="160" t="s">
        <v>206</v>
      </c>
      <c r="I99" s="163">
        <v>2.5000000000000001E-2</v>
      </c>
      <c r="J99" s="162">
        <v>2.5000000000000001E-2</v>
      </c>
      <c r="K99" s="159"/>
      <c r="L99" s="159"/>
      <c r="M99" s="159"/>
      <c r="N99" s="159"/>
      <c r="O99" s="159"/>
      <c r="U99" s="1"/>
      <c r="V99" s="1"/>
      <c r="W99" s="202"/>
      <c r="X99" s="1"/>
      <c r="Y99" s="1"/>
      <c r="Z99" s="1"/>
    </row>
    <row r="100" spans="6:26">
      <c r="F100" s="160">
        <v>5</v>
      </c>
      <c r="G100" s="168" t="s">
        <v>192</v>
      </c>
      <c r="H100" s="160" t="s">
        <v>207</v>
      </c>
      <c r="I100" s="162">
        <v>0.01</v>
      </c>
      <c r="J100" s="162">
        <v>0.01</v>
      </c>
      <c r="K100" s="159"/>
      <c r="L100" s="159"/>
      <c r="M100" s="159"/>
      <c r="N100" s="159"/>
      <c r="O100" s="159"/>
      <c r="U100" s="1"/>
      <c r="V100" s="1"/>
      <c r="W100" s="202"/>
      <c r="X100" s="1"/>
      <c r="Y100" s="1"/>
      <c r="Z100" s="1"/>
    </row>
    <row r="101" spans="6:26">
      <c r="F101" s="159">
        <v>1</v>
      </c>
      <c r="G101" s="166" t="s">
        <v>157</v>
      </c>
      <c r="H101" s="166" t="s">
        <v>223</v>
      </c>
      <c r="I101" s="159"/>
      <c r="J101" s="159"/>
      <c r="K101" s="159"/>
      <c r="L101" s="159"/>
      <c r="M101" s="159"/>
      <c r="N101" s="159"/>
      <c r="O101" s="159"/>
      <c r="U101" s="1"/>
      <c r="V101" s="1"/>
      <c r="W101" s="202"/>
      <c r="X101" s="1"/>
      <c r="Y101" s="1"/>
      <c r="Z101" s="1"/>
    </row>
    <row r="102" spans="6:26">
      <c r="F102" s="159">
        <v>2</v>
      </c>
      <c r="G102" s="166" t="s">
        <v>155</v>
      </c>
      <c r="H102" s="166" t="s">
        <v>218</v>
      </c>
      <c r="I102" s="159"/>
      <c r="J102" s="159"/>
      <c r="K102" s="159"/>
      <c r="L102" s="159"/>
      <c r="M102" s="159"/>
      <c r="N102" s="159"/>
      <c r="O102" s="159"/>
      <c r="U102" s="1"/>
      <c r="V102" s="1"/>
      <c r="W102" s="202"/>
      <c r="X102" s="1"/>
      <c r="Y102" s="1"/>
      <c r="Z102" s="1"/>
    </row>
    <row r="103" spans="6:26">
      <c r="F103" s="159">
        <v>2</v>
      </c>
      <c r="G103" s="166" t="s">
        <v>155</v>
      </c>
      <c r="H103" s="166" t="s">
        <v>239</v>
      </c>
      <c r="I103" s="159"/>
      <c r="J103" s="159"/>
      <c r="K103" s="159">
        <v>2001</v>
      </c>
      <c r="L103" s="159"/>
      <c r="M103" s="159"/>
      <c r="N103" s="159"/>
      <c r="O103" s="159"/>
      <c r="U103" s="1"/>
      <c r="V103" s="1"/>
      <c r="W103" s="202"/>
      <c r="X103" s="1"/>
      <c r="Y103" s="1"/>
      <c r="Z103" s="1"/>
    </row>
    <row r="104" spans="6:26">
      <c r="F104" s="159">
        <v>2</v>
      </c>
      <c r="G104" s="166" t="s">
        <v>155</v>
      </c>
      <c r="H104" s="166" t="s">
        <v>241</v>
      </c>
      <c r="I104" s="159"/>
      <c r="J104" s="159"/>
      <c r="K104" s="159">
        <v>2001</v>
      </c>
      <c r="L104" s="159"/>
      <c r="M104" s="159"/>
      <c r="N104" s="159"/>
      <c r="O104" s="159"/>
      <c r="U104" s="1"/>
      <c r="V104" s="1"/>
      <c r="W104" s="202"/>
      <c r="X104" s="1"/>
      <c r="Y104" s="1"/>
      <c r="Z104" s="1"/>
    </row>
    <row r="105" spans="6:26">
      <c r="F105" s="159">
        <v>3</v>
      </c>
      <c r="G105" s="166" t="s">
        <v>158</v>
      </c>
      <c r="H105" s="166" t="s">
        <v>219</v>
      </c>
      <c r="I105" s="159"/>
      <c r="J105" s="159"/>
      <c r="K105" s="159"/>
      <c r="L105" s="159"/>
      <c r="M105" s="159"/>
      <c r="N105" s="159"/>
      <c r="O105" s="159"/>
      <c r="U105" s="1"/>
      <c r="V105" s="1"/>
      <c r="W105" s="202"/>
      <c r="X105" s="1"/>
      <c r="Y105" s="1"/>
      <c r="Z105" s="1"/>
    </row>
    <row r="106" spans="6:26">
      <c r="F106" s="159">
        <v>3</v>
      </c>
      <c r="G106" s="166" t="s">
        <v>158</v>
      </c>
      <c r="H106" s="166" t="s">
        <v>220</v>
      </c>
      <c r="I106" s="159"/>
      <c r="J106" s="159"/>
      <c r="K106" s="159"/>
      <c r="L106" s="159"/>
      <c r="M106" s="159"/>
      <c r="N106" s="159"/>
      <c r="O106" s="159"/>
      <c r="U106" s="1"/>
      <c r="V106" s="1"/>
      <c r="W106" s="202"/>
      <c r="X106" s="1"/>
      <c r="Y106" s="1"/>
      <c r="Z106" s="1"/>
    </row>
    <row r="107" spans="6:26">
      <c r="F107" s="159">
        <v>3</v>
      </c>
      <c r="G107" s="166" t="s">
        <v>158</v>
      </c>
      <c r="H107" s="166" t="s">
        <v>221</v>
      </c>
      <c r="I107" s="159"/>
      <c r="J107" s="159"/>
      <c r="K107" s="159" t="s">
        <v>236</v>
      </c>
      <c r="L107" s="159"/>
      <c r="M107" s="159"/>
      <c r="N107" s="159"/>
      <c r="O107" s="159"/>
      <c r="U107" s="1"/>
      <c r="V107" s="1"/>
      <c r="W107" s="202"/>
      <c r="X107" s="1"/>
      <c r="Y107" s="1"/>
      <c r="Z107" s="1"/>
    </row>
    <row r="108" spans="6:26">
      <c r="F108" s="159">
        <v>3</v>
      </c>
      <c r="G108" s="166" t="s">
        <v>228</v>
      </c>
      <c r="H108" s="166" t="s">
        <v>229</v>
      </c>
      <c r="I108" s="159"/>
      <c r="J108" s="159"/>
      <c r="K108" s="159"/>
      <c r="L108" s="159"/>
      <c r="M108" s="159"/>
      <c r="N108" s="159"/>
      <c r="O108" s="159"/>
      <c r="U108" s="1"/>
      <c r="V108" s="1"/>
      <c r="W108" s="202"/>
      <c r="X108" s="1"/>
      <c r="Y108" s="1"/>
      <c r="Z108" s="1"/>
    </row>
    <row r="109" spans="6:26">
      <c r="F109" s="159">
        <v>3</v>
      </c>
      <c r="G109" s="166" t="s">
        <v>228</v>
      </c>
      <c r="H109" s="166" t="s">
        <v>237</v>
      </c>
      <c r="I109" s="159"/>
      <c r="J109" s="159"/>
      <c r="K109" s="159">
        <v>2003</v>
      </c>
      <c r="L109" s="159"/>
      <c r="M109" s="159"/>
      <c r="N109" s="159"/>
      <c r="O109" s="159"/>
      <c r="U109" s="1"/>
      <c r="V109" s="1"/>
      <c r="W109" s="202"/>
      <c r="X109" s="1"/>
      <c r="Y109" s="1"/>
      <c r="Z109" s="1"/>
    </row>
    <row r="110" spans="6:26">
      <c r="F110" s="159">
        <v>4</v>
      </c>
      <c r="G110" s="166" t="s">
        <v>228</v>
      </c>
      <c r="H110" s="166" t="s">
        <v>233</v>
      </c>
      <c r="I110" s="159"/>
      <c r="J110" s="159"/>
      <c r="K110" s="159"/>
      <c r="L110" s="159"/>
      <c r="M110" s="159"/>
      <c r="N110" s="159"/>
      <c r="O110" s="159"/>
      <c r="U110" s="1"/>
      <c r="V110" s="1"/>
      <c r="W110" s="202"/>
      <c r="X110" s="1"/>
      <c r="Y110" s="1"/>
      <c r="Z110" s="1"/>
    </row>
    <row r="111" spans="6:26">
      <c r="F111" s="159">
        <v>3</v>
      </c>
      <c r="G111" s="166" t="s">
        <v>228</v>
      </c>
      <c r="H111" s="166" t="s">
        <v>230</v>
      </c>
      <c r="I111" s="159"/>
      <c r="J111" s="159"/>
      <c r="K111" s="159"/>
      <c r="L111" s="159"/>
      <c r="M111" s="159"/>
      <c r="N111" s="159"/>
      <c r="O111" s="159"/>
      <c r="U111" s="1"/>
      <c r="V111" s="1"/>
      <c r="W111" s="202"/>
      <c r="X111" s="1"/>
      <c r="Y111" s="1"/>
      <c r="Z111" s="1"/>
    </row>
    <row r="112" spans="6:26">
      <c r="F112" s="159">
        <v>4</v>
      </c>
      <c r="G112" s="166" t="s">
        <v>228</v>
      </c>
      <c r="H112" s="166" t="s">
        <v>231</v>
      </c>
      <c r="I112" s="159"/>
      <c r="J112" s="159"/>
      <c r="K112" s="159"/>
      <c r="L112" s="159"/>
      <c r="M112" s="159"/>
      <c r="N112" s="159"/>
      <c r="O112" s="159"/>
      <c r="U112" s="1"/>
      <c r="V112" s="1"/>
      <c r="W112" s="202"/>
      <c r="X112" s="1"/>
      <c r="Y112" s="1"/>
      <c r="Z112" s="1"/>
    </row>
    <row r="113" spans="6:15">
      <c r="F113" s="159">
        <v>4</v>
      </c>
      <c r="G113" s="166" t="s">
        <v>228</v>
      </c>
      <c r="H113" s="166" t="s">
        <v>232</v>
      </c>
      <c r="I113" s="159"/>
      <c r="J113" s="159"/>
      <c r="K113" s="159"/>
      <c r="L113" s="159"/>
      <c r="M113" s="159"/>
      <c r="N113" s="159"/>
      <c r="O113" s="159"/>
    </row>
    <row r="114" spans="6:15">
      <c r="F114" s="159">
        <v>4</v>
      </c>
      <c r="G114" s="166" t="s">
        <v>238</v>
      </c>
      <c r="H114" s="166" t="s">
        <v>234</v>
      </c>
      <c r="I114" s="159"/>
      <c r="J114" s="159"/>
      <c r="K114" s="159"/>
      <c r="L114" s="159"/>
      <c r="M114" s="159"/>
      <c r="N114" s="159"/>
      <c r="O114" s="159"/>
    </row>
    <row r="115" spans="6:15">
      <c r="F115" s="159">
        <v>4</v>
      </c>
      <c r="G115" s="166" t="s">
        <v>238</v>
      </c>
      <c r="H115" s="166" t="s">
        <v>235</v>
      </c>
      <c r="I115" s="159"/>
      <c r="J115" s="159"/>
      <c r="K115" s="159"/>
      <c r="L115" s="159"/>
      <c r="M115" s="159"/>
      <c r="N115" s="159"/>
      <c r="O115" s="159"/>
    </row>
    <row r="116" spans="6:15">
      <c r="F116" s="159">
        <v>3</v>
      </c>
      <c r="G116" s="166" t="s">
        <v>242</v>
      </c>
      <c r="H116" s="166" t="s">
        <v>240</v>
      </c>
      <c r="I116" s="159"/>
      <c r="J116" s="159"/>
      <c r="K116" s="159">
        <v>2003</v>
      </c>
      <c r="L116" s="159"/>
      <c r="M116" s="159"/>
      <c r="N116" s="159"/>
      <c r="O116" s="159"/>
    </row>
    <row r="117" spans="6:15">
      <c r="F117" s="204"/>
    </row>
    <row r="122" spans="6:15">
      <c r="F122" s="160">
        <v>3</v>
      </c>
      <c r="G122" s="161" t="s">
        <v>158</v>
      </c>
      <c r="H122" s="76" t="s">
        <v>307</v>
      </c>
      <c r="N122" s="2">
        <v>2001</v>
      </c>
    </row>
    <row r="123" spans="6:15">
      <c r="F123" s="160">
        <v>4</v>
      </c>
      <c r="G123" s="168" t="s">
        <v>160</v>
      </c>
      <c r="H123" s="76" t="s">
        <v>304</v>
      </c>
      <c r="N123" s="2">
        <v>2007</v>
      </c>
    </row>
    <row r="124" spans="6:15">
      <c r="F124" s="160">
        <v>4</v>
      </c>
      <c r="G124" s="168" t="s">
        <v>160</v>
      </c>
      <c r="H124" s="76" t="s">
        <v>305</v>
      </c>
      <c r="N124" s="2">
        <v>2007</v>
      </c>
    </row>
    <row r="125" spans="6:15">
      <c r="F125" s="160">
        <v>4</v>
      </c>
      <c r="G125" s="168" t="s">
        <v>160</v>
      </c>
      <c r="H125" s="76" t="s">
        <v>306</v>
      </c>
      <c r="N125" s="2">
        <v>1999</v>
      </c>
    </row>
    <row r="126" spans="6:15">
      <c r="F126" s="160">
        <v>3</v>
      </c>
      <c r="G126" s="161" t="s">
        <v>158</v>
      </c>
      <c r="H126" s="76" t="s">
        <v>308</v>
      </c>
      <c r="N126" s="1">
        <v>1998</v>
      </c>
    </row>
    <row r="127" spans="6:15">
      <c r="F127" s="160">
        <v>3</v>
      </c>
      <c r="G127" s="161" t="s">
        <v>158</v>
      </c>
      <c r="H127" s="76" t="s">
        <v>309</v>
      </c>
      <c r="N127" s="1">
        <v>2002</v>
      </c>
    </row>
    <row r="128" spans="6:15">
      <c r="F128" s="160">
        <v>2</v>
      </c>
      <c r="G128" s="161" t="s">
        <v>155</v>
      </c>
      <c r="H128" s="76" t="s">
        <v>310</v>
      </c>
      <c r="N128" s="1">
        <v>1989</v>
      </c>
      <c r="O128" s="1">
        <v>1989</v>
      </c>
    </row>
    <row r="129" spans="6:14">
      <c r="F129" s="160">
        <v>3.5</v>
      </c>
      <c r="G129" s="161" t="s">
        <v>158</v>
      </c>
      <c r="H129" s="76" t="s">
        <v>311</v>
      </c>
      <c r="N129" s="1">
        <v>2005</v>
      </c>
    </row>
    <row r="130" spans="6:14">
      <c r="F130" s="160">
        <v>3.5</v>
      </c>
      <c r="G130" s="161" t="s">
        <v>158</v>
      </c>
    </row>
  </sheetData>
  <sortState xmlns:xlrd2="http://schemas.microsoft.com/office/spreadsheetml/2017/richdata2" ref="F2:O99">
    <sortCondition ref="F2:F99"/>
    <sortCondition ref="H2:H99"/>
  </sortState>
  <phoneticPr fontId="8"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D2456-AB95-435E-B033-3052F08C4B3B}">
  <dimension ref="N1:AC27"/>
  <sheetViews>
    <sheetView zoomScale="70" zoomScaleNormal="70" workbookViewId="0">
      <selection activeCell="AC27" sqref="AC27"/>
    </sheetView>
  </sheetViews>
  <sheetFormatPr defaultRowHeight="14.25"/>
  <cols>
    <col min="20" max="21" width="12" bestFit="1" customWidth="1"/>
    <col min="29" max="29" width="13.86328125" customWidth="1"/>
  </cols>
  <sheetData>
    <row r="1" spans="14:29">
      <c r="N1" t="s">
        <v>61</v>
      </c>
    </row>
    <row r="2" spans="14:29">
      <c r="N2" t="s">
        <v>62</v>
      </c>
    </row>
    <row r="3" spans="14:29">
      <c r="N3" t="s">
        <v>63</v>
      </c>
    </row>
    <row r="4" spans="14:29">
      <c r="N4" t="s">
        <v>64</v>
      </c>
    </row>
    <row r="5" spans="14:29">
      <c r="N5" t="s">
        <v>65</v>
      </c>
    </row>
    <row r="6" spans="14:29">
      <c r="N6" t="s">
        <v>66</v>
      </c>
    </row>
    <row r="7" spans="14:29">
      <c r="N7" t="s">
        <v>294</v>
      </c>
    </row>
    <row r="8" spans="14:29">
      <c r="O8" t="s">
        <v>324</v>
      </c>
    </row>
    <row r="9" spans="14:29">
      <c r="P9" t="s">
        <v>328</v>
      </c>
      <c r="Q9" s="61" t="s">
        <v>326</v>
      </c>
      <c r="R9" s="61" t="s">
        <v>325</v>
      </c>
      <c r="S9" t="s">
        <v>327</v>
      </c>
    </row>
    <row r="10" spans="14:29">
      <c r="P10">
        <v>0.15</v>
      </c>
      <c r="Q10">
        <v>22</v>
      </c>
      <c r="R10">
        <v>24</v>
      </c>
      <c r="S10">
        <f>(Q18+Q19)*P10*-1</f>
        <v>-6.5699999999999994</v>
      </c>
    </row>
    <row r="12" spans="14:29">
      <c r="Q12" t="s">
        <v>322</v>
      </c>
      <c r="R12" t="s">
        <v>320</v>
      </c>
      <c r="W12" t="s">
        <v>321</v>
      </c>
      <c r="X12" t="s">
        <v>320</v>
      </c>
      <c r="Y12" t="s">
        <v>326</v>
      </c>
      <c r="Z12" t="s">
        <v>325</v>
      </c>
    </row>
    <row r="13" spans="14:29">
      <c r="Q13">
        <v>1000</v>
      </c>
      <c r="R13">
        <v>0.8</v>
      </c>
      <c r="W13">
        <v>500</v>
      </c>
      <c r="X13">
        <v>0.8</v>
      </c>
    </row>
    <row r="14" spans="14:29" ht="14.65" thickBot="1">
      <c r="O14" s="206" t="s">
        <v>316</v>
      </c>
      <c r="P14" t="s">
        <v>318</v>
      </c>
      <c r="Q14" t="s">
        <v>323</v>
      </c>
      <c r="R14" t="s">
        <v>324</v>
      </c>
      <c r="U14" s="207" t="s">
        <v>317</v>
      </c>
      <c r="V14" t="s">
        <v>319</v>
      </c>
      <c r="W14" t="s">
        <v>323</v>
      </c>
      <c r="X14" t="s">
        <v>324</v>
      </c>
      <c r="AB14" s="226" t="s">
        <v>316</v>
      </c>
      <c r="AC14" s="226" t="s">
        <v>346</v>
      </c>
    </row>
    <row r="15" spans="14:29" ht="17.649999999999999" thickBot="1">
      <c r="O15" s="208">
        <v>30</v>
      </c>
      <c r="Q15">
        <f t="shared" ref="Q15:Q27" si="0">P15/1000*$Q$13</f>
        <v>0</v>
      </c>
      <c r="R15">
        <f t="shared" ref="R15:R27" si="1">P15/1000*$Q$13*$R$13*-1</f>
        <v>0</v>
      </c>
      <c r="U15" s="208">
        <v>0.05</v>
      </c>
      <c r="V15">
        <f t="shared" ref="V15:V27" si="2">P15/3.048</f>
        <v>0</v>
      </c>
      <c r="W15">
        <f t="shared" ref="W15:W27" si="3">V15/100*$W$13*$X$13*-1</f>
        <v>0</v>
      </c>
      <c r="AB15" s="229">
        <v>8</v>
      </c>
      <c r="AC15" s="230">
        <v>0.6</v>
      </c>
    </row>
    <row r="16" spans="14:29" ht="17.649999999999999" thickBot="1">
      <c r="O16" s="209">
        <v>28</v>
      </c>
      <c r="Q16">
        <f t="shared" si="0"/>
        <v>0</v>
      </c>
      <c r="R16">
        <f t="shared" si="1"/>
        <v>0</v>
      </c>
      <c r="U16" s="209">
        <v>0.08</v>
      </c>
      <c r="V16">
        <f t="shared" si="2"/>
        <v>0</v>
      </c>
      <c r="W16">
        <f t="shared" si="3"/>
        <v>0</v>
      </c>
      <c r="AB16" s="229">
        <v>10</v>
      </c>
      <c r="AC16" s="230">
        <v>1</v>
      </c>
    </row>
    <row r="17" spans="15:29" ht="17.649999999999999" thickBot="1">
      <c r="O17" s="208">
        <v>26</v>
      </c>
      <c r="P17">
        <v>42</v>
      </c>
      <c r="Q17">
        <f t="shared" si="0"/>
        <v>42</v>
      </c>
      <c r="R17">
        <f t="shared" si="1"/>
        <v>-33.6</v>
      </c>
      <c r="U17" s="208">
        <v>0.14000000000000001</v>
      </c>
      <c r="V17">
        <f t="shared" si="2"/>
        <v>13.779527559055119</v>
      </c>
      <c r="W17">
        <f t="shared" si="3"/>
        <v>-55.118110236220481</v>
      </c>
      <c r="AB17" s="229">
        <v>12</v>
      </c>
      <c r="AC17" s="230">
        <v>1.5</v>
      </c>
    </row>
    <row r="18" spans="15:29" ht="17.649999999999999" thickBot="1">
      <c r="O18" s="209">
        <v>24</v>
      </c>
      <c r="P18">
        <v>27</v>
      </c>
      <c r="Q18">
        <f t="shared" si="0"/>
        <v>27</v>
      </c>
      <c r="R18">
        <f t="shared" si="1"/>
        <v>-21.6</v>
      </c>
      <c r="U18" s="209">
        <v>0.25</v>
      </c>
      <c r="V18">
        <f t="shared" si="2"/>
        <v>8.8582677165354333</v>
      </c>
      <c r="W18">
        <f t="shared" si="3"/>
        <v>-35.43307086614174</v>
      </c>
      <c r="AB18" s="229">
        <v>14</v>
      </c>
      <c r="AC18" s="230">
        <v>2.5</v>
      </c>
    </row>
    <row r="19" spans="15:29" ht="17.649999999999999" thickBot="1">
      <c r="O19" s="208">
        <v>22</v>
      </c>
      <c r="P19">
        <v>16.8</v>
      </c>
      <c r="Q19">
        <f t="shared" si="0"/>
        <v>16.8</v>
      </c>
      <c r="R19">
        <f t="shared" si="1"/>
        <v>-13.440000000000001</v>
      </c>
      <c r="U19" s="208">
        <v>0.34</v>
      </c>
      <c r="V19">
        <f t="shared" si="2"/>
        <v>5.5118110236220472</v>
      </c>
      <c r="W19">
        <f t="shared" si="3"/>
        <v>-22.047244094488192</v>
      </c>
      <c r="AB19" s="229">
        <v>16</v>
      </c>
      <c r="AC19" s="230">
        <v>4</v>
      </c>
    </row>
    <row r="20" spans="15:29" ht="17.649999999999999" thickBot="1">
      <c r="O20" s="209">
        <v>21</v>
      </c>
      <c r="Q20">
        <f t="shared" si="0"/>
        <v>0</v>
      </c>
      <c r="R20">
        <f t="shared" si="1"/>
        <v>0</v>
      </c>
      <c r="U20" s="209">
        <v>0.38</v>
      </c>
      <c r="V20">
        <f t="shared" si="2"/>
        <v>0</v>
      </c>
      <c r="W20">
        <f t="shared" si="3"/>
        <v>0</v>
      </c>
      <c r="AB20" s="229">
        <v>18</v>
      </c>
      <c r="AC20" s="230">
        <v>6.5</v>
      </c>
    </row>
    <row r="21" spans="15:29" ht="17.649999999999999" thickBot="1">
      <c r="O21" s="208">
        <v>20</v>
      </c>
      <c r="P21">
        <v>10.5</v>
      </c>
      <c r="Q21">
        <f t="shared" si="0"/>
        <v>10.5</v>
      </c>
      <c r="R21">
        <f t="shared" si="1"/>
        <v>-8.4</v>
      </c>
      <c r="U21" s="208">
        <v>0.5</v>
      </c>
      <c r="V21">
        <f t="shared" si="2"/>
        <v>3.4448818897637796</v>
      </c>
      <c r="W21">
        <f t="shared" si="3"/>
        <v>-13.77952755905512</v>
      </c>
      <c r="AB21" s="229">
        <v>20</v>
      </c>
      <c r="AC21" s="230">
        <v>10</v>
      </c>
    </row>
    <row r="22" spans="15:29" ht="17.649999999999999" thickBot="1">
      <c r="O22" s="209">
        <v>18</v>
      </c>
      <c r="P22">
        <v>4.2</v>
      </c>
      <c r="Q22">
        <f t="shared" si="0"/>
        <v>4.2</v>
      </c>
      <c r="R22">
        <f t="shared" si="1"/>
        <v>-3.3600000000000003</v>
      </c>
      <c r="U22" s="209">
        <v>0.75</v>
      </c>
      <c r="V22">
        <f t="shared" si="2"/>
        <v>1.3779527559055118</v>
      </c>
      <c r="W22">
        <f t="shared" si="3"/>
        <v>-5.5118110236220481</v>
      </c>
      <c r="AB22" s="229">
        <v>22</v>
      </c>
      <c r="AC22" s="230">
        <v>15</v>
      </c>
    </row>
    <row r="23" spans="15:29" ht="17.649999999999999" thickBot="1">
      <c r="O23" s="208">
        <v>17</v>
      </c>
      <c r="Q23">
        <f t="shared" si="0"/>
        <v>0</v>
      </c>
      <c r="R23">
        <f t="shared" si="1"/>
        <v>0</v>
      </c>
      <c r="U23" s="208">
        <v>1</v>
      </c>
      <c r="V23">
        <f t="shared" si="2"/>
        <v>0</v>
      </c>
      <c r="W23">
        <f t="shared" si="3"/>
        <v>0</v>
      </c>
      <c r="AB23" s="229">
        <v>24</v>
      </c>
      <c r="AC23" s="230">
        <v>25</v>
      </c>
    </row>
    <row r="24" spans="15:29" ht="17.649999999999999" thickBot="1">
      <c r="O24" s="209">
        <v>16</v>
      </c>
      <c r="Q24">
        <f t="shared" si="0"/>
        <v>0</v>
      </c>
      <c r="R24">
        <f t="shared" si="1"/>
        <v>0</v>
      </c>
      <c r="U24" s="209">
        <v>1.5</v>
      </c>
      <c r="V24">
        <f t="shared" si="2"/>
        <v>0</v>
      </c>
      <c r="W24">
        <f t="shared" si="3"/>
        <v>0</v>
      </c>
      <c r="AB24" s="229">
        <v>26</v>
      </c>
      <c r="AC24" s="230">
        <v>40</v>
      </c>
    </row>
    <row r="25" spans="15:29" ht="17.649999999999999" thickBot="1">
      <c r="O25" s="208">
        <v>14</v>
      </c>
      <c r="P25">
        <v>2.6</v>
      </c>
      <c r="Q25">
        <f t="shared" si="0"/>
        <v>2.6</v>
      </c>
      <c r="R25">
        <f t="shared" si="1"/>
        <v>-2.08</v>
      </c>
      <c r="U25" s="208">
        <v>2.5</v>
      </c>
      <c r="V25">
        <f t="shared" si="2"/>
        <v>0.85301837270341208</v>
      </c>
      <c r="W25">
        <f t="shared" si="3"/>
        <v>-3.4120734908136487</v>
      </c>
      <c r="AB25" s="229">
        <v>28</v>
      </c>
      <c r="AC25" s="230">
        <v>65</v>
      </c>
    </row>
    <row r="26" spans="15:29" ht="17.649999999999999" thickBot="1">
      <c r="O26" s="209">
        <v>12</v>
      </c>
      <c r="P26">
        <v>1.5</v>
      </c>
      <c r="Q26">
        <f t="shared" si="0"/>
        <v>1.5</v>
      </c>
      <c r="R26">
        <f t="shared" si="1"/>
        <v>-1.2000000000000002</v>
      </c>
      <c r="U26" s="209">
        <v>4</v>
      </c>
      <c r="V26">
        <f t="shared" si="2"/>
        <v>0.49212598425196852</v>
      </c>
      <c r="W26">
        <f t="shared" si="3"/>
        <v>-1.9685039370078741</v>
      </c>
    </row>
    <row r="27" spans="15:29" ht="17.649999999999999" thickBot="1">
      <c r="O27" s="208">
        <v>10</v>
      </c>
      <c r="P27">
        <v>1</v>
      </c>
      <c r="Q27">
        <f t="shared" si="0"/>
        <v>1</v>
      </c>
      <c r="R27">
        <f t="shared" si="1"/>
        <v>-0.8</v>
      </c>
      <c r="U27" s="208">
        <v>6</v>
      </c>
      <c r="V27">
        <f t="shared" si="2"/>
        <v>0.32808398950131235</v>
      </c>
      <c r="W27">
        <f t="shared" si="3"/>
        <v>-1.3123359580052494</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1E3A4-C67F-442C-8610-87B0A0DF354F}">
  <dimension ref="A1:K39"/>
  <sheetViews>
    <sheetView workbookViewId="0">
      <selection activeCell="N8" sqref="N8"/>
    </sheetView>
  </sheetViews>
  <sheetFormatPr defaultRowHeight="14.25"/>
  <sheetData>
    <row r="1" spans="1:5">
      <c r="A1" t="s">
        <v>330</v>
      </c>
    </row>
    <row r="2" spans="1:5">
      <c r="E2" s="210"/>
    </row>
    <row r="3" spans="1:5" ht="14.65" thickBot="1">
      <c r="A3" t="s">
        <v>331</v>
      </c>
      <c r="C3" t="s">
        <v>332</v>
      </c>
    </row>
    <row r="4" spans="1:5" ht="14.65" thickBot="1">
      <c r="A4" s="211" t="s">
        <v>333</v>
      </c>
      <c r="C4" s="212">
        <v>44</v>
      </c>
    </row>
    <row r="6" spans="1:5" ht="14.65" thickBot="1">
      <c r="A6" t="s">
        <v>334</v>
      </c>
      <c r="C6" t="s">
        <v>335</v>
      </c>
    </row>
    <row r="7" spans="1:5" ht="14.65" thickBot="1">
      <c r="A7" s="213">
        <v>555</v>
      </c>
      <c r="C7" s="214">
        <f>SUM(C4*A7)*0.000001</f>
        <v>2.4419999999999997E-2</v>
      </c>
    </row>
    <row r="9" spans="1:5" ht="14.65" thickBot="1">
      <c r="A9" t="s">
        <v>336</v>
      </c>
    </row>
    <row r="10" spans="1:5" ht="14.65" thickBot="1">
      <c r="A10" s="212">
        <f>SUM(1/(1382*(C7*0.000001)))</f>
        <v>29630.999240261186</v>
      </c>
    </row>
    <row r="12" spans="1:5" ht="14.65" thickBot="1">
      <c r="A12" t="s">
        <v>337</v>
      </c>
      <c r="C12" t="s">
        <v>338</v>
      </c>
    </row>
    <row r="13" spans="1:5" ht="14.65" thickBot="1">
      <c r="A13" s="211">
        <v>1</v>
      </c>
      <c r="C13" s="211">
        <f>SUM(A13*0.04)</f>
        <v>0.04</v>
      </c>
    </row>
    <row r="15" spans="1:5" ht="14.65" thickBot="1">
      <c r="A15" t="s">
        <v>336</v>
      </c>
    </row>
    <row r="16" spans="1:5" ht="14.65" thickBot="1">
      <c r="A16" s="212">
        <f>SUM(1/(1382*(C7-C13)*0.000001))</f>
        <v>-46443.453237944661</v>
      </c>
    </row>
    <row r="18" spans="1:11">
      <c r="A18" s="215" t="s">
        <v>339</v>
      </c>
      <c r="B18" s="215"/>
      <c r="C18" s="215" t="s">
        <v>340</v>
      </c>
      <c r="D18" s="215"/>
      <c r="E18" s="215" t="s">
        <v>339</v>
      </c>
      <c r="F18" s="215"/>
      <c r="G18" s="215" t="s">
        <v>340</v>
      </c>
      <c r="H18" s="215"/>
      <c r="I18" s="215" t="s">
        <v>339</v>
      </c>
      <c r="J18" s="215"/>
      <c r="K18" s="215" t="s">
        <v>340</v>
      </c>
    </row>
    <row r="19" spans="1:11">
      <c r="A19" s="215">
        <v>1</v>
      </c>
      <c r="B19" s="215"/>
      <c r="C19" s="215">
        <v>1500</v>
      </c>
      <c r="D19" s="215"/>
      <c r="E19" s="215">
        <v>17</v>
      </c>
      <c r="F19" s="215"/>
      <c r="G19" s="215">
        <v>10</v>
      </c>
      <c r="H19" s="215"/>
      <c r="I19" s="215">
        <v>33</v>
      </c>
      <c r="J19" s="215"/>
      <c r="K19" s="215">
        <v>0</v>
      </c>
    </row>
    <row r="20" spans="1:11">
      <c r="A20" s="215">
        <v>2</v>
      </c>
      <c r="B20" s="215"/>
      <c r="C20" s="215">
        <v>1500</v>
      </c>
      <c r="D20" s="215"/>
      <c r="E20" s="215">
        <v>18</v>
      </c>
      <c r="F20" s="215"/>
      <c r="G20" s="215">
        <v>10</v>
      </c>
      <c r="H20" s="215"/>
      <c r="I20" s="215">
        <v>34</v>
      </c>
      <c r="J20" s="215"/>
      <c r="K20" s="215">
        <v>0</v>
      </c>
    </row>
    <row r="21" spans="1:11">
      <c r="A21" s="215">
        <v>3</v>
      </c>
      <c r="B21" s="215"/>
      <c r="C21" s="215">
        <v>1500</v>
      </c>
      <c r="D21" s="215"/>
      <c r="E21" s="215">
        <v>19</v>
      </c>
      <c r="F21" s="215"/>
      <c r="G21" s="215">
        <v>250</v>
      </c>
      <c r="H21" s="215"/>
      <c r="I21" s="215">
        <v>35</v>
      </c>
      <c r="J21" s="215"/>
      <c r="K21" s="215">
        <v>0</v>
      </c>
    </row>
    <row r="22" spans="1:11">
      <c r="A22" s="215">
        <v>4</v>
      </c>
      <c r="B22" s="215"/>
      <c r="C22" s="215">
        <v>1500</v>
      </c>
      <c r="D22" s="215"/>
      <c r="E22" s="215">
        <v>20</v>
      </c>
      <c r="F22" s="215"/>
      <c r="G22" s="215">
        <v>250</v>
      </c>
      <c r="H22" s="215"/>
      <c r="I22" s="215">
        <v>36</v>
      </c>
      <c r="J22" s="215"/>
      <c r="K22" s="215">
        <v>0</v>
      </c>
    </row>
    <row r="23" spans="1:11">
      <c r="A23" s="215">
        <v>5</v>
      </c>
      <c r="B23" s="215"/>
      <c r="C23" s="215">
        <v>1200</v>
      </c>
      <c r="D23" s="215"/>
      <c r="E23" s="215">
        <v>21</v>
      </c>
      <c r="F23" s="215"/>
      <c r="G23" s="215">
        <v>1500</v>
      </c>
      <c r="H23" s="215"/>
      <c r="I23" s="215">
        <v>37</v>
      </c>
      <c r="J23" s="215"/>
      <c r="K23" s="215">
        <v>0</v>
      </c>
    </row>
    <row r="24" spans="1:11">
      <c r="A24" s="215">
        <v>6</v>
      </c>
      <c r="B24" s="215"/>
      <c r="C24" s="215">
        <v>1200</v>
      </c>
      <c r="D24" s="215"/>
      <c r="E24" s="215">
        <v>22</v>
      </c>
      <c r="F24" s="215"/>
      <c r="G24" s="215">
        <v>1500</v>
      </c>
      <c r="H24" s="215"/>
      <c r="I24" s="215">
        <v>38</v>
      </c>
      <c r="J24" s="215"/>
      <c r="K24" s="215">
        <v>0</v>
      </c>
    </row>
    <row r="25" spans="1:11">
      <c r="A25" s="215">
        <v>7</v>
      </c>
      <c r="B25" s="215"/>
      <c r="C25" s="215">
        <v>1200</v>
      </c>
      <c r="D25" s="215"/>
      <c r="E25" s="215">
        <v>23</v>
      </c>
      <c r="F25" s="215"/>
      <c r="G25" s="215">
        <v>1500</v>
      </c>
      <c r="H25" s="215"/>
      <c r="I25" s="215">
        <v>39</v>
      </c>
      <c r="J25" s="215"/>
      <c r="K25" s="215">
        <v>0</v>
      </c>
    </row>
    <row r="26" spans="1:11">
      <c r="A26" s="215">
        <v>8</v>
      </c>
      <c r="B26" s="215"/>
      <c r="C26" s="215">
        <v>1200</v>
      </c>
      <c r="D26" s="215"/>
      <c r="E26" s="215">
        <v>24</v>
      </c>
      <c r="F26" s="215"/>
      <c r="G26" s="215">
        <v>0</v>
      </c>
      <c r="H26" s="215"/>
      <c r="I26" s="215">
        <v>40</v>
      </c>
      <c r="J26" s="215"/>
      <c r="K26" s="215">
        <v>0</v>
      </c>
    </row>
    <row r="27" spans="1:11">
      <c r="A27" s="215">
        <v>9</v>
      </c>
      <c r="B27" s="215"/>
      <c r="C27" s="215">
        <v>500</v>
      </c>
      <c r="D27" s="215"/>
      <c r="E27" s="215">
        <v>25</v>
      </c>
      <c r="F27" s="215"/>
      <c r="G27" s="215">
        <v>0</v>
      </c>
      <c r="H27" s="215"/>
      <c r="I27" s="215">
        <v>41</v>
      </c>
      <c r="J27" s="215"/>
      <c r="K27" s="215">
        <v>0</v>
      </c>
    </row>
    <row r="28" spans="1:11">
      <c r="A28" s="215">
        <v>10</v>
      </c>
      <c r="B28" s="215"/>
      <c r="C28" s="215">
        <v>500</v>
      </c>
      <c r="D28" s="215"/>
      <c r="E28" s="215">
        <v>26</v>
      </c>
      <c r="F28" s="215"/>
      <c r="G28" s="215">
        <v>0</v>
      </c>
      <c r="H28" s="215"/>
      <c r="I28" s="215">
        <v>42</v>
      </c>
      <c r="J28" s="215"/>
      <c r="K28" s="215">
        <v>0</v>
      </c>
    </row>
    <row r="29" spans="1:11">
      <c r="A29" s="215">
        <v>11</v>
      </c>
      <c r="B29" s="215"/>
      <c r="C29" s="215">
        <v>750</v>
      </c>
      <c r="D29" s="215"/>
      <c r="E29" s="215">
        <v>27</v>
      </c>
      <c r="F29" s="215"/>
      <c r="G29" s="215">
        <v>0</v>
      </c>
      <c r="H29" s="215"/>
      <c r="I29" s="215">
        <v>43</v>
      </c>
      <c r="J29" s="215"/>
      <c r="K29" s="215">
        <v>0</v>
      </c>
    </row>
    <row r="30" spans="1:11">
      <c r="A30" s="215">
        <v>12</v>
      </c>
      <c r="B30" s="215"/>
      <c r="C30" s="215">
        <v>750</v>
      </c>
      <c r="D30" s="215"/>
      <c r="E30" s="215">
        <v>28</v>
      </c>
      <c r="F30" s="215"/>
      <c r="G30" s="215">
        <v>0</v>
      </c>
      <c r="H30" s="215"/>
      <c r="I30" s="215">
        <v>44</v>
      </c>
      <c r="J30" s="215"/>
      <c r="K30" s="215">
        <v>0</v>
      </c>
    </row>
    <row r="31" spans="1:11">
      <c r="A31" s="215">
        <v>13</v>
      </c>
      <c r="B31" s="215"/>
      <c r="C31" s="215">
        <v>500</v>
      </c>
      <c r="D31" s="215"/>
      <c r="E31" s="215">
        <v>29</v>
      </c>
      <c r="F31" s="215"/>
      <c r="G31" s="215">
        <v>0</v>
      </c>
      <c r="H31" s="215"/>
      <c r="I31" s="215">
        <v>45</v>
      </c>
      <c r="J31" s="215"/>
      <c r="K31" s="215">
        <v>0</v>
      </c>
    </row>
    <row r="32" spans="1:11">
      <c r="A32" s="215">
        <v>14</v>
      </c>
      <c r="B32" s="215"/>
      <c r="C32" s="215">
        <v>500</v>
      </c>
      <c r="D32" s="215"/>
      <c r="E32" s="215">
        <v>30</v>
      </c>
      <c r="F32" s="215"/>
      <c r="G32" s="215">
        <v>0</v>
      </c>
      <c r="H32" s="215"/>
      <c r="I32" s="215">
        <v>46</v>
      </c>
      <c r="J32" s="215"/>
      <c r="K32" s="215">
        <v>0</v>
      </c>
    </row>
    <row r="33" spans="1:11">
      <c r="A33" s="215">
        <v>15</v>
      </c>
      <c r="B33" s="215"/>
      <c r="C33" s="215">
        <v>10</v>
      </c>
      <c r="D33" s="215"/>
      <c r="E33" s="215">
        <v>31</v>
      </c>
      <c r="F33" s="215"/>
      <c r="G33" s="215">
        <v>0</v>
      </c>
      <c r="H33" s="215"/>
      <c r="I33" s="215">
        <v>47</v>
      </c>
      <c r="J33" s="215"/>
      <c r="K33" s="215">
        <v>0</v>
      </c>
    </row>
    <row r="34" spans="1:11">
      <c r="A34" s="215">
        <v>16</v>
      </c>
      <c r="B34" s="215"/>
      <c r="C34" s="215">
        <v>10</v>
      </c>
      <c r="D34" s="215"/>
      <c r="E34" s="215">
        <v>32</v>
      </c>
      <c r="F34" s="215"/>
      <c r="G34" s="215">
        <v>0</v>
      </c>
      <c r="H34" s="215"/>
      <c r="I34" s="215">
        <v>48</v>
      </c>
      <c r="J34" s="215"/>
      <c r="K34" s="215">
        <v>0</v>
      </c>
    </row>
    <row r="36" spans="1:11" ht="14.65" thickBot="1">
      <c r="C36" t="s">
        <v>341</v>
      </c>
    </row>
    <row r="37" spans="1:11" ht="14.65" thickBot="1">
      <c r="C37" s="216">
        <f>SUM((C19:C34))</f>
        <v>14320</v>
      </c>
      <c r="D37" s="217"/>
      <c r="E37" s="217"/>
      <c r="F37" s="217"/>
      <c r="G37" s="217">
        <f>SUM(G19:G34)</f>
        <v>5020</v>
      </c>
      <c r="H37" s="217"/>
      <c r="I37" s="217"/>
      <c r="J37" s="217"/>
      <c r="K37" s="218">
        <f>SUM(K19:K34)</f>
        <v>0</v>
      </c>
    </row>
    <row r="39" spans="1:11">
      <c r="C39" t="s">
        <v>60</v>
      </c>
      <c r="D39" s="219">
        <f>SUM(C37:K37)</f>
        <v>19340</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78615-A60E-416C-8944-F3A37201EFFD}">
  <dimension ref="A1:L62"/>
  <sheetViews>
    <sheetView workbookViewId="0">
      <selection activeCell="C19" sqref="B8:C19"/>
    </sheetView>
  </sheetViews>
  <sheetFormatPr defaultRowHeight="14.25"/>
  <cols>
    <col min="3" max="3" width="11.73046875" customWidth="1"/>
  </cols>
  <sheetData>
    <row r="1" spans="1:12" ht="17.649999999999999">
      <c r="B1" s="220" t="s">
        <v>342</v>
      </c>
    </row>
    <row r="2" spans="1:12" ht="17.649999999999999">
      <c r="B2" s="220"/>
      <c r="F2" t="s">
        <v>343</v>
      </c>
    </row>
    <row r="3" spans="1:12">
      <c r="F3" t="s">
        <v>344</v>
      </c>
      <c r="J3" s="221"/>
    </row>
    <row r="4" spans="1:12">
      <c r="D4" s="222"/>
      <c r="F4" s="222">
        <v>36550</v>
      </c>
      <c r="G4" s="222"/>
      <c r="J4" s="221"/>
    </row>
    <row r="6" spans="1:12">
      <c r="A6" s="219"/>
      <c r="B6" s="219"/>
      <c r="C6" s="223"/>
      <c r="D6" s="224"/>
      <c r="E6" s="223"/>
      <c r="F6" s="225"/>
      <c r="G6" s="224"/>
      <c r="J6" s="219"/>
      <c r="K6" s="219"/>
      <c r="L6" s="219"/>
    </row>
    <row r="7" spans="1:12">
      <c r="A7" s="219"/>
      <c r="B7" s="219" t="s">
        <v>345</v>
      </c>
      <c r="D7" s="224"/>
      <c r="F7" s="225"/>
      <c r="G7" s="224"/>
      <c r="J7" s="219"/>
      <c r="K7" s="219"/>
      <c r="L7" s="219"/>
    </row>
    <row r="8" spans="1:12">
      <c r="A8" s="219"/>
      <c r="B8" s="226" t="s">
        <v>316</v>
      </c>
      <c r="C8" s="226" t="s">
        <v>346</v>
      </c>
      <c r="D8" s="227" t="s">
        <v>347</v>
      </c>
      <c r="E8" s="228" t="s">
        <v>348</v>
      </c>
      <c r="F8" s="224"/>
      <c r="I8" s="219"/>
      <c r="J8" s="219"/>
      <c r="K8" s="219"/>
      <c r="L8" s="219"/>
    </row>
    <row r="9" spans="1:12">
      <c r="A9" s="219"/>
      <c r="B9" s="229">
        <v>8</v>
      </c>
      <c r="C9" s="230">
        <v>0.6</v>
      </c>
      <c r="D9" s="227"/>
      <c r="E9" s="228" t="s">
        <v>349</v>
      </c>
      <c r="F9" s="224"/>
      <c r="I9" s="219"/>
      <c r="J9" s="219"/>
      <c r="K9" s="219"/>
      <c r="L9" s="219"/>
    </row>
    <row r="10" spans="1:12">
      <c r="A10" s="219"/>
      <c r="B10" s="229">
        <v>10</v>
      </c>
      <c r="C10" s="230">
        <v>1</v>
      </c>
      <c r="D10" s="227"/>
      <c r="E10" s="228" t="s">
        <v>350</v>
      </c>
      <c r="F10" s="224"/>
      <c r="I10" s="219"/>
      <c r="J10" s="219"/>
      <c r="K10" s="219"/>
      <c r="L10" s="219"/>
    </row>
    <row r="11" spans="1:12">
      <c r="A11" s="219"/>
      <c r="B11" s="229">
        <v>12</v>
      </c>
      <c r="C11" s="230">
        <v>1.5</v>
      </c>
      <c r="D11" s="227"/>
      <c r="E11" s="228"/>
      <c r="F11" s="224"/>
      <c r="I11" s="219"/>
      <c r="J11" s="219"/>
      <c r="K11" s="219"/>
      <c r="L11" s="219"/>
    </row>
    <row r="12" spans="1:12">
      <c r="A12" s="219"/>
      <c r="B12" s="229">
        <v>14</v>
      </c>
      <c r="C12" s="230">
        <v>2.5</v>
      </c>
      <c r="D12" s="227"/>
      <c r="E12" s="225"/>
      <c r="F12" s="224"/>
      <c r="I12" s="219"/>
      <c r="J12" s="219"/>
      <c r="K12" s="219"/>
      <c r="L12" s="219"/>
    </row>
    <row r="13" spans="1:12">
      <c r="A13" s="219"/>
      <c r="B13" s="229">
        <v>16</v>
      </c>
      <c r="C13" s="230">
        <v>4</v>
      </c>
      <c r="D13" s="227"/>
      <c r="E13" s="225"/>
      <c r="F13" s="224"/>
      <c r="I13" s="219"/>
      <c r="J13" s="219"/>
      <c r="K13" s="219"/>
      <c r="L13" s="219"/>
    </row>
    <row r="14" spans="1:12">
      <c r="A14" s="219"/>
      <c r="B14" s="229">
        <v>18</v>
      </c>
      <c r="C14" s="230">
        <v>6.5</v>
      </c>
      <c r="D14" s="231" t="s">
        <v>351</v>
      </c>
      <c r="E14" s="232" t="s">
        <v>352</v>
      </c>
      <c r="F14" t="s">
        <v>353</v>
      </c>
      <c r="I14" s="219"/>
      <c r="J14" s="219"/>
      <c r="K14" s="219"/>
      <c r="L14" s="219"/>
    </row>
    <row r="15" spans="1:12">
      <c r="A15" s="219"/>
      <c r="B15" s="229">
        <v>20</v>
      </c>
      <c r="C15" s="230">
        <v>10</v>
      </c>
      <c r="D15" s="233"/>
      <c r="E15" s="229" t="s">
        <v>354</v>
      </c>
      <c r="F15" t="s">
        <v>355</v>
      </c>
      <c r="I15" s="219"/>
      <c r="J15" s="219"/>
      <c r="K15" s="219"/>
      <c r="L15" s="219"/>
    </row>
    <row r="16" spans="1:12">
      <c r="A16" s="219"/>
      <c r="B16" s="229">
        <v>22</v>
      </c>
      <c r="C16" s="230">
        <v>15</v>
      </c>
      <c r="D16" s="233"/>
      <c r="E16" s="229" t="s">
        <v>354</v>
      </c>
      <c r="F16" t="s">
        <v>356</v>
      </c>
      <c r="I16" s="219"/>
      <c r="J16" s="219"/>
      <c r="K16" s="219"/>
      <c r="L16" s="219"/>
    </row>
    <row r="17" spans="1:12">
      <c r="A17" s="219"/>
      <c r="B17" s="229">
        <v>24</v>
      </c>
      <c r="C17" s="230">
        <v>25</v>
      </c>
      <c r="D17" s="233"/>
      <c r="E17" s="234"/>
      <c r="F17" s="235"/>
      <c r="I17" s="219"/>
      <c r="J17" s="219"/>
      <c r="K17" s="219"/>
      <c r="L17" s="219"/>
    </row>
    <row r="18" spans="1:12">
      <c r="A18" s="219"/>
      <c r="B18" s="229">
        <v>26</v>
      </c>
      <c r="C18" s="230">
        <v>40</v>
      </c>
      <c r="D18" s="233"/>
      <c r="E18" s="225"/>
      <c r="F18" s="235"/>
      <c r="I18" s="219"/>
      <c r="J18" s="219"/>
      <c r="K18" s="219"/>
      <c r="L18" s="219"/>
    </row>
    <row r="19" spans="1:12">
      <c r="B19" s="229">
        <v>28</v>
      </c>
      <c r="C19" s="230">
        <v>65</v>
      </c>
      <c r="D19" s="233"/>
      <c r="E19" s="228"/>
    </row>
    <row r="20" spans="1:12">
      <c r="B20" s="236"/>
      <c r="C20" s="233"/>
      <c r="E20" s="233"/>
      <c r="F20" s="228"/>
    </row>
    <row r="21" spans="1:12" ht="14.65" thickBot="1">
      <c r="B21" s="236"/>
      <c r="C21" s="233"/>
      <c r="E21" s="233"/>
      <c r="F21" s="228"/>
    </row>
    <row r="22" spans="1:12" ht="15" thickTop="1" thickBot="1">
      <c r="A22" s="219" t="s">
        <v>357</v>
      </c>
      <c r="B22" s="219"/>
      <c r="C22" s="237">
        <f>SUM(C29:C60)</f>
        <v>7000</v>
      </c>
      <c r="D22" s="238">
        <f>SUM(H29:H60)</f>
        <v>1.5000000000000007</v>
      </c>
      <c r="E22" s="239"/>
      <c r="F22" s="240">
        <f>SUM(J28:J59)</f>
        <v>9.5257499999999986</v>
      </c>
      <c r="J22" s="219"/>
      <c r="K22" s="219"/>
      <c r="L22" s="219"/>
    </row>
    <row r="23" spans="1:12" ht="14.65" thickTop="1">
      <c r="A23" s="241" t="s">
        <v>358</v>
      </c>
      <c r="B23" s="219"/>
      <c r="C23" s="223"/>
      <c r="D23" s="242"/>
      <c r="E23" s="223"/>
      <c r="F23" s="225"/>
      <c r="G23" s="242"/>
      <c r="J23" s="219"/>
      <c r="K23" s="219"/>
      <c r="L23" s="219"/>
    </row>
    <row r="24" spans="1:12">
      <c r="A24" s="241"/>
      <c r="B24" s="219"/>
      <c r="C24" s="223"/>
      <c r="D24" s="242"/>
      <c r="E24" s="223"/>
      <c r="F24" s="225"/>
      <c r="G24" s="242"/>
      <c r="J24" s="219"/>
      <c r="K24" s="219"/>
      <c r="L24" s="219"/>
    </row>
    <row r="25" spans="1:12">
      <c r="B25" s="228"/>
      <c r="C25" s="228"/>
      <c r="D25" s="243">
        <v>50</v>
      </c>
      <c r="E25" s="244"/>
      <c r="F25" s="228"/>
      <c r="G25" s="228"/>
    </row>
    <row r="26" spans="1:12">
      <c r="B26" s="228"/>
      <c r="C26" s="228"/>
      <c r="E26" s="228"/>
      <c r="F26" s="228"/>
    </row>
    <row r="27" spans="1:12">
      <c r="A27" s="219"/>
      <c r="B27" s="245"/>
      <c r="C27" s="226" t="s">
        <v>359</v>
      </c>
      <c r="D27" s="226" t="s">
        <v>360</v>
      </c>
      <c r="E27" s="226" t="s">
        <v>361</v>
      </c>
      <c r="F27" s="226" t="s">
        <v>362</v>
      </c>
      <c r="G27" s="226" t="s">
        <v>363</v>
      </c>
      <c r="H27" s="226" t="s">
        <v>364</v>
      </c>
      <c r="I27" s="226" t="s">
        <v>365</v>
      </c>
      <c r="J27" s="226" t="s">
        <v>324</v>
      </c>
      <c r="K27" s="219"/>
      <c r="L27" s="219"/>
    </row>
    <row r="28" spans="1:12">
      <c r="B28" s="246" t="s">
        <v>366</v>
      </c>
      <c r="C28" s="229"/>
      <c r="D28" s="229"/>
      <c r="E28" s="229"/>
      <c r="F28" s="229"/>
      <c r="G28" s="229"/>
      <c r="H28" s="229"/>
      <c r="I28" s="247">
        <f>SUM(H29:H60)</f>
        <v>1.5000000000000007</v>
      </c>
      <c r="J28" s="248">
        <f>I28*G29</f>
        <v>0.36000000000000015</v>
      </c>
      <c r="K28" t="s">
        <v>367</v>
      </c>
    </row>
    <row r="29" spans="1:12">
      <c r="B29" s="249">
        <v>1</v>
      </c>
      <c r="C29" s="250">
        <v>200</v>
      </c>
      <c r="D29" s="251">
        <v>1</v>
      </c>
      <c r="E29" s="252">
        <v>8</v>
      </c>
      <c r="F29" s="230">
        <f>IF(L29=FALSE,K29,L29)</f>
        <v>0.6</v>
      </c>
      <c r="G29" s="253">
        <f t="shared" ref="G29:G59" si="0">((F29/1000)*C29)*2</f>
        <v>0.24</v>
      </c>
      <c r="H29" s="254">
        <f>(D29*D25)/1000</f>
        <v>0.05</v>
      </c>
      <c r="I29" s="254">
        <f t="shared" ref="I29:I60" si="1">I28-H29</f>
        <v>1.4500000000000006</v>
      </c>
      <c r="J29" s="248">
        <f t="shared" ref="J29:J59" si="2">I29*G30</f>
        <v>0.17400000000000007</v>
      </c>
      <c r="K29">
        <f>IF(E29=8,0.6,IF(E29=10,1,IF(E29=12,1.5,IF(E29=14,2.5,IF(E29=16,4,IF(E29=18,6.5,"go"))))))</f>
        <v>0.6</v>
      </c>
      <c r="L29" t="b">
        <f t="shared" ref="L29:L60" si="3">IF(K29="go",IF(E29=20,10,IF(E29=22,15,IF(E29=24,25,IF(E29=26,40,IF(E29=28,65,"Unknown AWG"))))))</f>
        <v>0</v>
      </c>
    </row>
    <row r="30" spans="1:12">
      <c r="B30" s="249">
        <f>B29+1</f>
        <v>2</v>
      </c>
      <c r="C30" s="250">
        <v>100</v>
      </c>
      <c r="D30" s="251">
        <v>1</v>
      </c>
      <c r="E30" s="252">
        <v>8</v>
      </c>
      <c r="F30" s="230">
        <f t="shared" ref="F30:F60" si="4">IF(L30=FALSE,K30,L30)</f>
        <v>0.6</v>
      </c>
      <c r="G30" s="253">
        <f t="shared" si="0"/>
        <v>0.12</v>
      </c>
      <c r="H30" s="254">
        <f>(D30*D25)/1000</f>
        <v>0.05</v>
      </c>
      <c r="I30" s="254">
        <f t="shared" si="1"/>
        <v>1.4000000000000006</v>
      </c>
      <c r="J30" s="248">
        <f t="shared" si="2"/>
        <v>0.50400000000000023</v>
      </c>
      <c r="K30">
        <f t="shared" ref="K30:K60" si="5">IF(E30=8,0.6,IF(E30=10,1,IF(E30=12,1.5,IF(E30=14,2.5,IF(E30=16,4,IF(E30=18,6.5,"go"))))))</f>
        <v>0.6</v>
      </c>
      <c r="L30" t="b">
        <f t="shared" si="3"/>
        <v>0</v>
      </c>
    </row>
    <row r="31" spans="1:12">
      <c r="B31" s="249">
        <f t="shared" ref="B31:B60" si="6">B30+1</f>
        <v>3</v>
      </c>
      <c r="C31" s="250">
        <v>300</v>
      </c>
      <c r="D31" s="251">
        <v>1</v>
      </c>
      <c r="E31" s="252">
        <v>8</v>
      </c>
      <c r="F31" s="230">
        <f t="shared" si="4"/>
        <v>0.6</v>
      </c>
      <c r="G31" s="253">
        <f t="shared" si="0"/>
        <v>0.36</v>
      </c>
      <c r="H31" s="254">
        <f>(D31*D25)/1000</f>
        <v>0.05</v>
      </c>
      <c r="I31" s="254">
        <f t="shared" si="1"/>
        <v>1.3500000000000005</v>
      </c>
      <c r="J31" s="248">
        <f t="shared" si="2"/>
        <v>0.64800000000000024</v>
      </c>
      <c r="K31">
        <f t="shared" si="5"/>
        <v>0.6</v>
      </c>
      <c r="L31" t="b">
        <f t="shared" si="3"/>
        <v>0</v>
      </c>
    </row>
    <row r="32" spans="1:12">
      <c r="B32" s="249">
        <f t="shared" si="6"/>
        <v>4</v>
      </c>
      <c r="C32" s="250">
        <v>400</v>
      </c>
      <c r="D32" s="251">
        <v>1</v>
      </c>
      <c r="E32" s="252">
        <v>8</v>
      </c>
      <c r="F32" s="230">
        <f t="shared" si="4"/>
        <v>0.6</v>
      </c>
      <c r="G32" s="253">
        <f t="shared" si="0"/>
        <v>0.48</v>
      </c>
      <c r="H32" s="254">
        <f>(D32*D25)/1000</f>
        <v>0.05</v>
      </c>
      <c r="I32" s="254">
        <f t="shared" si="1"/>
        <v>1.3000000000000005</v>
      </c>
      <c r="J32" s="248">
        <f t="shared" si="2"/>
        <v>0.27300000000000008</v>
      </c>
      <c r="K32">
        <f t="shared" si="5"/>
        <v>0.6</v>
      </c>
      <c r="L32" t="b">
        <f t="shared" si="3"/>
        <v>0</v>
      </c>
    </row>
    <row r="33" spans="2:12">
      <c r="B33" s="249">
        <f t="shared" si="6"/>
        <v>5</v>
      </c>
      <c r="C33" s="250">
        <v>175</v>
      </c>
      <c r="D33" s="251">
        <v>1</v>
      </c>
      <c r="E33" s="252">
        <v>8</v>
      </c>
      <c r="F33" s="230">
        <f t="shared" si="4"/>
        <v>0.6</v>
      </c>
      <c r="G33" s="253">
        <f t="shared" si="0"/>
        <v>0.21</v>
      </c>
      <c r="H33" s="254">
        <f>(D33*D25)/1000</f>
        <v>0.05</v>
      </c>
      <c r="I33" s="254">
        <f t="shared" si="1"/>
        <v>1.2500000000000004</v>
      </c>
      <c r="J33" s="248">
        <f t="shared" si="2"/>
        <v>0.45000000000000012</v>
      </c>
      <c r="K33">
        <f t="shared" si="5"/>
        <v>0.6</v>
      </c>
      <c r="L33" t="b">
        <f t="shared" si="3"/>
        <v>0</v>
      </c>
    </row>
    <row r="34" spans="2:12">
      <c r="B34" s="249">
        <f t="shared" si="6"/>
        <v>6</v>
      </c>
      <c r="C34" s="250">
        <v>300</v>
      </c>
      <c r="D34" s="251">
        <v>1</v>
      </c>
      <c r="E34" s="252">
        <v>8</v>
      </c>
      <c r="F34" s="230">
        <f t="shared" si="4"/>
        <v>0.6</v>
      </c>
      <c r="G34" s="253">
        <f t="shared" si="0"/>
        <v>0.36</v>
      </c>
      <c r="H34" s="254">
        <f>(D34*D25)/1000</f>
        <v>0.05</v>
      </c>
      <c r="I34" s="254">
        <f t="shared" si="1"/>
        <v>1.2000000000000004</v>
      </c>
      <c r="J34" s="248">
        <f t="shared" si="2"/>
        <v>0.3600000000000001</v>
      </c>
      <c r="K34">
        <f t="shared" si="5"/>
        <v>0.6</v>
      </c>
      <c r="L34" t="b">
        <f t="shared" si="3"/>
        <v>0</v>
      </c>
    </row>
    <row r="35" spans="2:12">
      <c r="B35" s="249">
        <f t="shared" si="6"/>
        <v>7</v>
      </c>
      <c r="C35" s="250">
        <v>250</v>
      </c>
      <c r="D35" s="251">
        <v>1</v>
      </c>
      <c r="E35" s="252">
        <v>8</v>
      </c>
      <c r="F35" s="230">
        <f t="shared" si="4"/>
        <v>0.6</v>
      </c>
      <c r="G35" s="253">
        <f t="shared" si="0"/>
        <v>0.3</v>
      </c>
      <c r="H35" s="254">
        <f>(D35*D25)/1000</f>
        <v>0.05</v>
      </c>
      <c r="I35" s="254">
        <f t="shared" si="1"/>
        <v>1.1500000000000004</v>
      </c>
      <c r="J35" s="248">
        <f t="shared" si="2"/>
        <v>0.17250000000000004</v>
      </c>
      <c r="K35">
        <f t="shared" si="5"/>
        <v>0.6</v>
      </c>
      <c r="L35" t="b">
        <f t="shared" si="3"/>
        <v>0</v>
      </c>
    </row>
    <row r="36" spans="2:12">
      <c r="B36" s="249">
        <f t="shared" si="6"/>
        <v>8</v>
      </c>
      <c r="C36" s="250">
        <v>125</v>
      </c>
      <c r="D36" s="251">
        <v>1</v>
      </c>
      <c r="E36" s="252">
        <v>8</v>
      </c>
      <c r="F36" s="230">
        <f t="shared" si="4"/>
        <v>0.6</v>
      </c>
      <c r="G36" s="253">
        <f t="shared" si="0"/>
        <v>0.15</v>
      </c>
      <c r="H36" s="254">
        <f>(D36*D25)/1000</f>
        <v>0.05</v>
      </c>
      <c r="I36" s="254">
        <f t="shared" si="1"/>
        <v>1.1000000000000003</v>
      </c>
      <c r="J36" s="248">
        <f t="shared" si="2"/>
        <v>0.14520000000000002</v>
      </c>
      <c r="K36">
        <f t="shared" si="5"/>
        <v>0.6</v>
      </c>
      <c r="L36" t="b">
        <f t="shared" si="3"/>
        <v>0</v>
      </c>
    </row>
    <row r="37" spans="2:12">
      <c r="B37" s="249">
        <f t="shared" si="6"/>
        <v>9</v>
      </c>
      <c r="C37" s="250">
        <v>110</v>
      </c>
      <c r="D37" s="251">
        <v>1</v>
      </c>
      <c r="E37" s="252">
        <v>8</v>
      </c>
      <c r="F37" s="230">
        <f t="shared" si="4"/>
        <v>0.6</v>
      </c>
      <c r="G37" s="253">
        <f t="shared" si="0"/>
        <v>0.13199999999999998</v>
      </c>
      <c r="H37" s="254">
        <f>(D37*D25)/1000</f>
        <v>0.05</v>
      </c>
      <c r="I37" s="254">
        <f t="shared" si="1"/>
        <v>1.0500000000000003</v>
      </c>
      <c r="J37" s="248">
        <f t="shared" si="2"/>
        <v>0.44100000000000011</v>
      </c>
      <c r="K37">
        <f t="shared" si="5"/>
        <v>0.6</v>
      </c>
      <c r="L37" t="b">
        <f t="shared" si="3"/>
        <v>0</v>
      </c>
    </row>
    <row r="38" spans="2:12">
      <c r="B38" s="249">
        <f t="shared" si="6"/>
        <v>10</v>
      </c>
      <c r="C38" s="250">
        <v>350</v>
      </c>
      <c r="D38" s="251">
        <v>0</v>
      </c>
      <c r="E38" s="252">
        <v>8</v>
      </c>
      <c r="F38" s="230">
        <f t="shared" si="4"/>
        <v>0.6</v>
      </c>
      <c r="G38" s="253">
        <f t="shared" si="0"/>
        <v>0.42</v>
      </c>
      <c r="H38" s="254">
        <f>(D38*D25)/1000</f>
        <v>0</v>
      </c>
      <c r="I38" s="254">
        <f t="shared" si="1"/>
        <v>1.0500000000000003</v>
      </c>
      <c r="J38" s="248">
        <f t="shared" si="2"/>
        <v>0.21000000000000008</v>
      </c>
      <c r="K38">
        <f t="shared" si="5"/>
        <v>0.6</v>
      </c>
      <c r="L38" t="b">
        <f t="shared" si="3"/>
        <v>0</v>
      </c>
    </row>
    <row r="39" spans="2:12">
      <c r="B39" s="249">
        <f t="shared" si="6"/>
        <v>11</v>
      </c>
      <c r="C39" s="250">
        <v>100</v>
      </c>
      <c r="D39" s="251">
        <v>1</v>
      </c>
      <c r="E39" s="252">
        <v>10</v>
      </c>
      <c r="F39" s="230">
        <f t="shared" si="4"/>
        <v>1</v>
      </c>
      <c r="G39" s="253">
        <f t="shared" si="0"/>
        <v>0.2</v>
      </c>
      <c r="H39" s="254">
        <f>(D39*D25)/1000</f>
        <v>0.05</v>
      </c>
      <c r="I39" s="254">
        <f t="shared" si="1"/>
        <v>1.0000000000000002</v>
      </c>
      <c r="J39" s="248">
        <f t="shared" si="2"/>
        <v>0.55000000000000016</v>
      </c>
      <c r="K39">
        <f t="shared" si="5"/>
        <v>1</v>
      </c>
      <c r="L39" t="b">
        <f t="shared" si="3"/>
        <v>0</v>
      </c>
    </row>
    <row r="40" spans="2:12">
      <c r="B40" s="249">
        <f t="shared" si="6"/>
        <v>12</v>
      </c>
      <c r="C40" s="250">
        <v>275</v>
      </c>
      <c r="D40" s="251">
        <v>1</v>
      </c>
      <c r="E40" s="252">
        <v>10</v>
      </c>
      <c r="F40" s="230">
        <f t="shared" si="4"/>
        <v>1</v>
      </c>
      <c r="G40" s="253">
        <f t="shared" si="0"/>
        <v>0.55000000000000004</v>
      </c>
      <c r="H40" s="254">
        <f>(D40*D25)/1000</f>
        <v>0.05</v>
      </c>
      <c r="I40" s="254">
        <f t="shared" si="1"/>
        <v>0.95000000000000018</v>
      </c>
      <c r="J40" s="248">
        <f t="shared" si="2"/>
        <v>0.76000000000000023</v>
      </c>
      <c r="K40">
        <f t="shared" si="5"/>
        <v>1</v>
      </c>
      <c r="L40" t="b">
        <f t="shared" si="3"/>
        <v>0</v>
      </c>
    </row>
    <row r="41" spans="2:12">
      <c r="B41" s="249">
        <f t="shared" si="6"/>
        <v>13</v>
      </c>
      <c r="C41" s="250">
        <v>400</v>
      </c>
      <c r="D41" s="251">
        <v>1</v>
      </c>
      <c r="E41" s="252">
        <v>10</v>
      </c>
      <c r="F41" s="230">
        <f t="shared" si="4"/>
        <v>1</v>
      </c>
      <c r="G41" s="253">
        <f t="shared" si="0"/>
        <v>0.8</v>
      </c>
      <c r="H41" s="254">
        <f>(D41*D25)/1000</f>
        <v>0.05</v>
      </c>
      <c r="I41" s="254">
        <f t="shared" si="1"/>
        <v>0.90000000000000013</v>
      </c>
      <c r="J41" s="248">
        <f t="shared" si="2"/>
        <v>0.3600000000000001</v>
      </c>
      <c r="K41">
        <f t="shared" si="5"/>
        <v>1</v>
      </c>
      <c r="L41" t="b">
        <f t="shared" si="3"/>
        <v>0</v>
      </c>
    </row>
    <row r="42" spans="2:12">
      <c r="B42" s="249">
        <f t="shared" si="6"/>
        <v>14</v>
      </c>
      <c r="C42" s="250">
        <v>200</v>
      </c>
      <c r="D42" s="251">
        <v>1</v>
      </c>
      <c r="E42" s="252">
        <v>10</v>
      </c>
      <c r="F42" s="230">
        <f t="shared" si="4"/>
        <v>1</v>
      </c>
      <c r="G42" s="253">
        <f t="shared" si="0"/>
        <v>0.4</v>
      </c>
      <c r="H42" s="254">
        <f>(D42*D25)/1000</f>
        <v>0.05</v>
      </c>
      <c r="I42" s="254">
        <f t="shared" si="1"/>
        <v>0.85000000000000009</v>
      </c>
      <c r="J42" s="248">
        <f t="shared" si="2"/>
        <v>0.17000000000000004</v>
      </c>
      <c r="K42">
        <f t="shared" si="5"/>
        <v>1</v>
      </c>
      <c r="L42" t="b">
        <f t="shared" si="3"/>
        <v>0</v>
      </c>
    </row>
    <row r="43" spans="2:12">
      <c r="B43" s="249">
        <f t="shared" si="6"/>
        <v>15</v>
      </c>
      <c r="C43" s="250">
        <v>100</v>
      </c>
      <c r="D43" s="251">
        <v>1</v>
      </c>
      <c r="E43" s="252">
        <v>10</v>
      </c>
      <c r="F43" s="230">
        <f t="shared" si="4"/>
        <v>1</v>
      </c>
      <c r="G43" s="253">
        <f t="shared" si="0"/>
        <v>0.2</v>
      </c>
      <c r="H43" s="254">
        <f>(D43*D25)/1000</f>
        <v>0.05</v>
      </c>
      <c r="I43" s="254">
        <f t="shared" si="1"/>
        <v>0.8</v>
      </c>
      <c r="J43" s="248">
        <f t="shared" si="2"/>
        <v>8.8000000000000009E-2</v>
      </c>
      <c r="K43">
        <f t="shared" si="5"/>
        <v>1</v>
      </c>
      <c r="L43" t="b">
        <f t="shared" si="3"/>
        <v>0</v>
      </c>
    </row>
    <row r="44" spans="2:12">
      <c r="B44" s="249">
        <f t="shared" si="6"/>
        <v>16</v>
      </c>
      <c r="C44" s="250">
        <v>55</v>
      </c>
      <c r="D44" s="251">
        <v>1</v>
      </c>
      <c r="E44" s="252">
        <v>10</v>
      </c>
      <c r="F44" s="230">
        <f t="shared" si="4"/>
        <v>1</v>
      </c>
      <c r="G44" s="253">
        <f t="shared" si="0"/>
        <v>0.11</v>
      </c>
      <c r="H44" s="254">
        <f>(D44*D25)/1000</f>
        <v>0.05</v>
      </c>
      <c r="I44" s="254">
        <f t="shared" si="1"/>
        <v>0.75</v>
      </c>
      <c r="J44" s="248">
        <f t="shared" si="2"/>
        <v>0.40500000000000003</v>
      </c>
      <c r="K44">
        <f t="shared" si="5"/>
        <v>1</v>
      </c>
      <c r="L44" t="b">
        <f t="shared" si="3"/>
        <v>0</v>
      </c>
    </row>
    <row r="45" spans="2:12">
      <c r="B45" s="249">
        <f t="shared" si="6"/>
        <v>17</v>
      </c>
      <c r="C45" s="250">
        <v>270</v>
      </c>
      <c r="D45" s="251"/>
      <c r="E45" s="252">
        <v>10</v>
      </c>
      <c r="F45" s="230">
        <f t="shared" si="4"/>
        <v>1</v>
      </c>
      <c r="G45" s="253">
        <f t="shared" si="0"/>
        <v>0.54</v>
      </c>
      <c r="H45" s="254">
        <f>(D45*D25)/1000</f>
        <v>0</v>
      </c>
      <c r="I45" s="254">
        <f t="shared" si="1"/>
        <v>0.75</v>
      </c>
      <c r="J45" s="248">
        <f t="shared" si="2"/>
        <v>0.30000000000000004</v>
      </c>
      <c r="K45">
        <f t="shared" si="5"/>
        <v>1</v>
      </c>
      <c r="L45" t="b">
        <f t="shared" si="3"/>
        <v>0</v>
      </c>
    </row>
    <row r="46" spans="2:12">
      <c r="B46" s="249">
        <f t="shared" si="6"/>
        <v>18</v>
      </c>
      <c r="C46" s="250">
        <v>200</v>
      </c>
      <c r="D46" s="251">
        <v>1</v>
      </c>
      <c r="E46" s="252">
        <v>10</v>
      </c>
      <c r="F46" s="230">
        <f t="shared" si="4"/>
        <v>1</v>
      </c>
      <c r="G46" s="253">
        <f t="shared" si="0"/>
        <v>0.4</v>
      </c>
      <c r="H46" s="254">
        <f>(D46*D25)/1000</f>
        <v>0.05</v>
      </c>
      <c r="I46" s="254">
        <f t="shared" si="1"/>
        <v>0.7</v>
      </c>
      <c r="J46" s="248">
        <f t="shared" si="2"/>
        <v>0.27999999999999997</v>
      </c>
      <c r="K46">
        <f t="shared" si="5"/>
        <v>1</v>
      </c>
      <c r="L46" t="b">
        <f t="shared" si="3"/>
        <v>0</v>
      </c>
    </row>
    <row r="47" spans="2:12">
      <c r="B47" s="249">
        <f t="shared" si="6"/>
        <v>19</v>
      </c>
      <c r="C47" s="250">
        <v>200</v>
      </c>
      <c r="D47" s="251">
        <v>1</v>
      </c>
      <c r="E47" s="252">
        <v>10</v>
      </c>
      <c r="F47" s="230">
        <f t="shared" si="4"/>
        <v>1</v>
      </c>
      <c r="G47" s="253">
        <f t="shared" si="0"/>
        <v>0.4</v>
      </c>
      <c r="H47" s="254">
        <f>(D47*D25)/1000</f>
        <v>0.05</v>
      </c>
      <c r="I47" s="254">
        <f t="shared" si="1"/>
        <v>0.64999999999999991</v>
      </c>
      <c r="J47" s="248">
        <f t="shared" si="2"/>
        <v>0.12999999999999998</v>
      </c>
      <c r="K47">
        <f t="shared" si="5"/>
        <v>1</v>
      </c>
      <c r="L47" t="b">
        <f t="shared" si="3"/>
        <v>0</v>
      </c>
    </row>
    <row r="48" spans="2:12">
      <c r="B48" s="249">
        <f t="shared" si="6"/>
        <v>20</v>
      </c>
      <c r="C48" s="250">
        <v>100</v>
      </c>
      <c r="D48" s="251">
        <v>1</v>
      </c>
      <c r="E48" s="252">
        <v>10</v>
      </c>
      <c r="F48" s="230">
        <f t="shared" si="4"/>
        <v>1</v>
      </c>
      <c r="G48" s="253">
        <f t="shared" si="0"/>
        <v>0.2</v>
      </c>
      <c r="H48" s="254">
        <f>(D48*D25)/1000</f>
        <v>0.05</v>
      </c>
      <c r="I48" s="254">
        <f t="shared" si="1"/>
        <v>0.59999999999999987</v>
      </c>
      <c r="J48" s="248">
        <f t="shared" si="2"/>
        <v>0.29999999999999993</v>
      </c>
      <c r="K48">
        <f t="shared" si="5"/>
        <v>1</v>
      </c>
      <c r="L48" t="b">
        <f t="shared" si="3"/>
        <v>0</v>
      </c>
    </row>
    <row r="49" spans="2:12">
      <c r="B49" s="249">
        <f t="shared" si="6"/>
        <v>21</v>
      </c>
      <c r="C49" s="250">
        <v>250</v>
      </c>
      <c r="D49" s="251">
        <v>1</v>
      </c>
      <c r="E49" s="252">
        <v>10</v>
      </c>
      <c r="F49" s="230">
        <f t="shared" si="4"/>
        <v>1</v>
      </c>
      <c r="G49" s="253">
        <f t="shared" si="0"/>
        <v>0.5</v>
      </c>
      <c r="H49" s="254">
        <f>(D49*D25)/1000</f>
        <v>0.05</v>
      </c>
      <c r="I49" s="254">
        <f t="shared" si="1"/>
        <v>0.54999999999999982</v>
      </c>
      <c r="J49" s="248">
        <f t="shared" si="2"/>
        <v>0.21999999999999995</v>
      </c>
      <c r="K49">
        <f t="shared" si="5"/>
        <v>1</v>
      </c>
      <c r="L49" t="b">
        <f t="shared" si="3"/>
        <v>0</v>
      </c>
    </row>
    <row r="50" spans="2:12">
      <c r="B50" s="249">
        <f t="shared" si="6"/>
        <v>22</v>
      </c>
      <c r="C50" s="250">
        <v>200</v>
      </c>
      <c r="D50" s="251">
        <v>1</v>
      </c>
      <c r="E50" s="252">
        <v>10</v>
      </c>
      <c r="F50" s="230">
        <f t="shared" si="4"/>
        <v>1</v>
      </c>
      <c r="G50" s="253">
        <f t="shared" si="0"/>
        <v>0.4</v>
      </c>
      <c r="H50" s="254">
        <f>(D50*D25)/1000</f>
        <v>0.05</v>
      </c>
      <c r="I50" s="254">
        <f t="shared" si="1"/>
        <v>0.49999999999999983</v>
      </c>
      <c r="J50" s="248">
        <f t="shared" si="2"/>
        <v>9.9999999999999978E-2</v>
      </c>
      <c r="K50">
        <f t="shared" si="5"/>
        <v>1</v>
      </c>
      <c r="L50" t="b">
        <f t="shared" si="3"/>
        <v>0</v>
      </c>
    </row>
    <row r="51" spans="2:12">
      <c r="B51" s="249">
        <f t="shared" si="6"/>
        <v>23</v>
      </c>
      <c r="C51" s="250">
        <v>100</v>
      </c>
      <c r="D51" s="251">
        <v>1</v>
      </c>
      <c r="E51" s="252">
        <v>10</v>
      </c>
      <c r="F51" s="230">
        <f t="shared" si="4"/>
        <v>1</v>
      </c>
      <c r="G51" s="253">
        <f t="shared" si="0"/>
        <v>0.2</v>
      </c>
      <c r="H51" s="254">
        <f>(D51*D25)/1000</f>
        <v>0.05</v>
      </c>
      <c r="I51" s="254">
        <f t="shared" si="1"/>
        <v>0.44999999999999984</v>
      </c>
      <c r="J51" s="248">
        <f t="shared" si="2"/>
        <v>0.49499999999999988</v>
      </c>
      <c r="K51">
        <f t="shared" si="5"/>
        <v>1</v>
      </c>
      <c r="L51" t="b">
        <f t="shared" si="3"/>
        <v>0</v>
      </c>
    </row>
    <row r="52" spans="2:12">
      <c r="B52" s="249">
        <f t="shared" si="6"/>
        <v>24</v>
      </c>
      <c r="C52" s="250">
        <v>550</v>
      </c>
      <c r="D52" s="251">
        <v>1</v>
      </c>
      <c r="E52" s="252">
        <v>10</v>
      </c>
      <c r="F52" s="230">
        <f t="shared" si="4"/>
        <v>1</v>
      </c>
      <c r="G52" s="253">
        <f t="shared" si="0"/>
        <v>1.1000000000000001</v>
      </c>
      <c r="H52" s="254">
        <f>(D52*D25)/1000</f>
        <v>0.05</v>
      </c>
      <c r="I52" s="254">
        <f t="shared" si="1"/>
        <v>0.39999999999999986</v>
      </c>
      <c r="J52" s="248">
        <f t="shared" si="2"/>
        <v>0.23999999999999991</v>
      </c>
      <c r="K52">
        <f t="shared" si="5"/>
        <v>1</v>
      </c>
      <c r="L52" t="b">
        <f t="shared" si="3"/>
        <v>0</v>
      </c>
    </row>
    <row r="53" spans="2:12">
      <c r="B53" s="249">
        <f t="shared" si="6"/>
        <v>25</v>
      </c>
      <c r="C53" s="250">
        <v>300</v>
      </c>
      <c r="D53" s="251">
        <v>1</v>
      </c>
      <c r="E53" s="252">
        <v>10</v>
      </c>
      <c r="F53" s="230">
        <f t="shared" si="4"/>
        <v>1</v>
      </c>
      <c r="G53" s="253">
        <f t="shared" si="0"/>
        <v>0.6</v>
      </c>
      <c r="H53" s="254">
        <f>(D53*D25)/1000</f>
        <v>0.05</v>
      </c>
      <c r="I53" s="254">
        <f t="shared" si="1"/>
        <v>0.34999999999999987</v>
      </c>
      <c r="J53" s="248">
        <f t="shared" si="2"/>
        <v>0.27999999999999992</v>
      </c>
      <c r="K53">
        <f t="shared" si="5"/>
        <v>1</v>
      </c>
      <c r="L53" t="b">
        <f t="shared" si="3"/>
        <v>0</v>
      </c>
    </row>
    <row r="54" spans="2:12">
      <c r="B54" s="249">
        <f t="shared" si="6"/>
        <v>26</v>
      </c>
      <c r="C54" s="250">
        <v>400</v>
      </c>
      <c r="D54" s="251">
        <v>1</v>
      </c>
      <c r="E54" s="252">
        <v>10</v>
      </c>
      <c r="F54" s="230">
        <f t="shared" si="4"/>
        <v>1</v>
      </c>
      <c r="G54" s="253">
        <f t="shared" si="0"/>
        <v>0.8</v>
      </c>
      <c r="H54" s="254">
        <f>(D54*D25)/1000</f>
        <v>0.05</v>
      </c>
      <c r="I54" s="254">
        <f t="shared" si="1"/>
        <v>0.29999999999999988</v>
      </c>
      <c r="J54" s="248">
        <f t="shared" si="2"/>
        <v>0.25499999999999989</v>
      </c>
      <c r="K54">
        <f t="shared" si="5"/>
        <v>1</v>
      </c>
      <c r="L54" t="b">
        <f t="shared" si="3"/>
        <v>0</v>
      </c>
    </row>
    <row r="55" spans="2:12">
      <c r="B55" s="249">
        <f t="shared" si="6"/>
        <v>27</v>
      </c>
      <c r="C55" s="250">
        <v>170</v>
      </c>
      <c r="D55" s="251">
        <v>1</v>
      </c>
      <c r="E55" s="252">
        <v>14</v>
      </c>
      <c r="F55" s="230">
        <f t="shared" si="4"/>
        <v>2.5</v>
      </c>
      <c r="G55" s="253">
        <f t="shared" si="0"/>
        <v>0.85</v>
      </c>
      <c r="H55" s="254">
        <f>(D55*D25)/1000</f>
        <v>0.05</v>
      </c>
      <c r="I55" s="254">
        <f t="shared" si="1"/>
        <v>0.24999999999999989</v>
      </c>
      <c r="J55" s="248">
        <f t="shared" si="2"/>
        <v>0.34624999999999984</v>
      </c>
      <c r="K55">
        <f t="shared" si="5"/>
        <v>2.5</v>
      </c>
      <c r="L55" t="b">
        <f t="shared" si="3"/>
        <v>0</v>
      </c>
    </row>
    <row r="56" spans="2:12">
      <c r="B56" s="249">
        <f t="shared" si="6"/>
        <v>28</v>
      </c>
      <c r="C56" s="250">
        <v>277</v>
      </c>
      <c r="D56" s="251">
        <v>1</v>
      </c>
      <c r="E56" s="252">
        <v>14</v>
      </c>
      <c r="F56" s="230">
        <f t="shared" si="4"/>
        <v>2.5</v>
      </c>
      <c r="G56" s="253">
        <f t="shared" si="0"/>
        <v>1.385</v>
      </c>
      <c r="H56" s="254">
        <f>(D56*D25)/1000</f>
        <v>0.05</v>
      </c>
      <c r="I56" s="254">
        <f t="shared" si="1"/>
        <v>0.1999999999999999</v>
      </c>
      <c r="J56" s="248">
        <f t="shared" si="2"/>
        <v>6.8799999999999972E-2</v>
      </c>
      <c r="K56">
        <f t="shared" si="5"/>
        <v>2.5</v>
      </c>
      <c r="L56" t="b">
        <f t="shared" si="3"/>
        <v>0</v>
      </c>
    </row>
    <row r="57" spans="2:12">
      <c r="B57" s="249">
        <f t="shared" si="6"/>
        <v>29</v>
      </c>
      <c r="C57" s="250">
        <v>43</v>
      </c>
      <c r="D57" s="251">
        <v>1</v>
      </c>
      <c r="E57" s="252">
        <v>16</v>
      </c>
      <c r="F57" s="230">
        <f t="shared" si="4"/>
        <v>4</v>
      </c>
      <c r="G57" s="253">
        <f t="shared" si="0"/>
        <v>0.34400000000000003</v>
      </c>
      <c r="H57" s="254">
        <f>(D57*D25)/1000</f>
        <v>0.05</v>
      </c>
      <c r="I57" s="254">
        <f t="shared" si="1"/>
        <v>0.14999999999999991</v>
      </c>
      <c r="J57" s="248">
        <f t="shared" si="2"/>
        <v>0.23999999999999988</v>
      </c>
      <c r="K57">
        <f t="shared" si="5"/>
        <v>4</v>
      </c>
      <c r="L57" t="b">
        <f t="shared" si="3"/>
        <v>0</v>
      </c>
    </row>
    <row r="58" spans="2:12">
      <c r="B58" s="249">
        <f t="shared" si="6"/>
        <v>30</v>
      </c>
      <c r="C58" s="250">
        <v>200</v>
      </c>
      <c r="D58" s="251">
        <v>1</v>
      </c>
      <c r="E58" s="252">
        <v>16</v>
      </c>
      <c r="F58" s="230">
        <f t="shared" si="4"/>
        <v>4</v>
      </c>
      <c r="G58" s="253">
        <f t="shared" si="0"/>
        <v>1.6</v>
      </c>
      <c r="H58" s="254">
        <f>(D58*D25)/1000</f>
        <v>0.05</v>
      </c>
      <c r="I58" s="254">
        <f t="shared" si="1"/>
        <v>9.9999999999999908E-2</v>
      </c>
      <c r="J58" s="248">
        <f t="shared" si="2"/>
        <v>0.15999999999999986</v>
      </c>
      <c r="K58">
        <f t="shared" si="5"/>
        <v>4</v>
      </c>
      <c r="L58" t="b">
        <f t="shared" si="3"/>
        <v>0</v>
      </c>
    </row>
    <row r="59" spans="2:12">
      <c r="B59" s="249">
        <f t="shared" si="6"/>
        <v>31</v>
      </c>
      <c r="C59" s="250">
        <v>200</v>
      </c>
      <c r="D59" s="251">
        <v>1</v>
      </c>
      <c r="E59" s="252">
        <v>16</v>
      </c>
      <c r="F59" s="230">
        <f t="shared" si="4"/>
        <v>4</v>
      </c>
      <c r="G59" s="253">
        <f t="shared" si="0"/>
        <v>1.6</v>
      </c>
      <c r="H59" s="254">
        <f>(D59*D25)/1000</f>
        <v>0.05</v>
      </c>
      <c r="I59" s="254">
        <f t="shared" si="1"/>
        <v>4.9999999999999906E-2</v>
      </c>
      <c r="J59" s="248">
        <f t="shared" si="2"/>
        <v>3.9999999999999925E-2</v>
      </c>
      <c r="K59">
        <f t="shared" si="5"/>
        <v>4</v>
      </c>
      <c r="L59" t="b">
        <f t="shared" si="3"/>
        <v>0</v>
      </c>
    </row>
    <row r="60" spans="2:12">
      <c r="B60" s="249">
        <f t="shared" si="6"/>
        <v>32</v>
      </c>
      <c r="C60" s="250">
        <v>100</v>
      </c>
      <c r="D60" s="251">
        <v>1</v>
      </c>
      <c r="E60" s="252">
        <v>16</v>
      </c>
      <c r="F60" s="230">
        <f t="shared" si="4"/>
        <v>4</v>
      </c>
      <c r="G60" s="253">
        <f>((F60/1000)*C60)*2</f>
        <v>0.8</v>
      </c>
      <c r="H60" s="254">
        <f>(D60*D25)/1000</f>
        <v>0.05</v>
      </c>
      <c r="I60" s="254">
        <f t="shared" si="1"/>
        <v>-9.7144514654701197E-17</v>
      </c>
      <c r="J60" s="248">
        <v>0</v>
      </c>
      <c r="K60">
        <f t="shared" si="5"/>
        <v>4</v>
      </c>
      <c r="L60" t="b">
        <f t="shared" si="3"/>
        <v>0</v>
      </c>
    </row>
    <row r="62" spans="2:12">
      <c r="C62" s="237">
        <f>SUM(C29:C60)</f>
        <v>7000</v>
      </c>
      <c r="D62" s="255">
        <f>SUM(D29:D60)</f>
        <v>30</v>
      </c>
      <c r="E62" s="256"/>
      <c r="F62" s="257">
        <f>SUM(H29:H60)</f>
        <v>1.5000000000000007</v>
      </c>
      <c r="G62" s="258">
        <f>SUM(J28:J59)</f>
        <v>9.5257499999999986</v>
      </c>
      <c r="H62" s="259"/>
    </row>
  </sheetData>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FDFE5-8D56-4934-98F8-A0FA8B1A5B83}">
  <dimension ref="A1:S42"/>
  <sheetViews>
    <sheetView topLeftCell="A7" workbookViewId="0">
      <selection activeCell="P24" sqref="P24"/>
    </sheetView>
  </sheetViews>
  <sheetFormatPr defaultRowHeight="14.25"/>
  <sheetData>
    <row r="1" spans="1:19">
      <c r="A1" s="73" t="s">
        <v>162</v>
      </c>
      <c r="B1" s="73" t="s">
        <v>163</v>
      </c>
      <c r="C1" s="61" t="s">
        <v>93</v>
      </c>
      <c r="D1" s="61" t="s">
        <v>88</v>
      </c>
      <c r="E1" s="61" t="s">
        <v>103</v>
      </c>
      <c r="F1" s="61"/>
      <c r="G1" s="61" t="s">
        <v>162</v>
      </c>
      <c r="H1" s="61" t="s">
        <v>163</v>
      </c>
      <c r="I1" s="61" t="s">
        <v>95</v>
      </c>
      <c r="J1" s="61" t="s">
        <v>26</v>
      </c>
      <c r="K1" s="61" t="s">
        <v>72</v>
      </c>
      <c r="P1" t="s">
        <v>93</v>
      </c>
      <c r="Q1" t="s">
        <v>116</v>
      </c>
      <c r="R1" t="s">
        <v>117</v>
      </c>
      <c r="S1" t="s">
        <v>147</v>
      </c>
    </row>
    <row r="2" spans="1:19">
      <c r="A2" s="74" t="s">
        <v>158</v>
      </c>
      <c r="B2" s="74" t="s">
        <v>102</v>
      </c>
      <c r="C2">
        <v>65</v>
      </c>
      <c r="E2">
        <v>120</v>
      </c>
      <c r="G2" t="s">
        <v>157</v>
      </c>
      <c r="H2" t="s">
        <v>120</v>
      </c>
      <c r="K2" t="s">
        <v>123</v>
      </c>
      <c r="N2" t="s">
        <v>155</v>
      </c>
      <c r="O2" t="s">
        <v>56</v>
      </c>
      <c r="P2">
        <v>10</v>
      </c>
      <c r="Q2">
        <v>12</v>
      </c>
      <c r="R2">
        <v>45</v>
      </c>
    </row>
    <row r="3" spans="1:19">
      <c r="A3" s="74" t="s">
        <v>157</v>
      </c>
      <c r="B3" s="75" t="s">
        <v>99</v>
      </c>
      <c r="G3" t="s">
        <v>157</v>
      </c>
      <c r="H3" t="s">
        <v>121</v>
      </c>
      <c r="K3" t="s">
        <v>123</v>
      </c>
      <c r="N3" t="s">
        <v>155</v>
      </c>
      <c r="O3" t="s">
        <v>57</v>
      </c>
      <c r="P3">
        <v>15</v>
      </c>
      <c r="Q3">
        <v>20</v>
      </c>
      <c r="R3">
        <v>40</v>
      </c>
    </row>
    <row r="4" spans="1:19">
      <c r="A4" s="74" t="s">
        <v>155</v>
      </c>
      <c r="B4" s="75" t="s">
        <v>161</v>
      </c>
      <c r="C4">
        <v>18</v>
      </c>
      <c r="D4">
        <v>18</v>
      </c>
      <c r="E4">
        <v>18</v>
      </c>
      <c r="G4" t="s">
        <v>155</v>
      </c>
      <c r="H4" t="s">
        <v>139</v>
      </c>
      <c r="I4">
        <v>1</v>
      </c>
      <c r="J4">
        <v>1</v>
      </c>
      <c r="N4" t="s">
        <v>155</v>
      </c>
      <c r="O4" t="s">
        <v>81</v>
      </c>
      <c r="P4">
        <v>7</v>
      </c>
      <c r="Q4">
        <v>10</v>
      </c>
      <c r="R4">
        <v>40</v>
      </c>
    </row>
    <row r="5" spans="1:19">
      <c r="A5" s="74" t="s">
        <v>160</v>
      </c>
      <c r="B5" s="74" t="s">
        <v>138</v>
      </c>
      <c r="G5" t="s">
        <v>158</v>
      </c>
      <c r="H5" t="s">
        <v>106</v>
      </c>
      <c r="I5">
        <v>1</v>
      </c>
      <c r="J5">
        <v>1</v>
      </c>
      <c r="N5" t="s">
        <v>155</v>
      </c>
      <c r="O5" t="s">
        <v>73</v>
      </c>
      <c r="P5">
        <v>25</v>
      </c>
      <c r="Q5">
        <v>100</v>
      </c>
      <c r="R5">
        <v>100</v>
      </c>
      <c r="S5">
        <v>200</v>
      </c>
    </row>
    <row r="6" spans="1:19">
      <c r="A6" s="74" t="s">
        <v>158</v>
      </c>
      <c r="B6" s="74" t="s">
        <v>130</v>
      </c>
      <c r="E6">
        <v>150</v>
      </c>
      <c r="G6" t="s">
        <v>155</v>
      </c>
      <c r="H6" t="s">
        <v>149</v>
      </c>
      <c r="I6">
        <v>1</v>
      </c>
      <c r="J6">
        <v>1</v>
      </c>
      <c r="N6" t="s">
        <v>157</v>
      </c>
      <c r="O6" t="s">
        <v>115</v>
      </c>
      <c r="P6">
        <v>7</v>
      </c>
      <c r="Q6">
        <v>10</v>
      </c>
      <c r="R6">
        <v>40</v>
      </c>
    </row>
    <row r="7" spans="1:19">
      <c r="A7" s="74" t="s">
        <v>155</v>
      </c>
      <c r="B7" s="74" t="s">
        <v>141</v>
      </c>
      <c r="G7" t="s">
        <v>156</v>
      </c>
      <c r="H7" t="s">
        <v>154</v>
      </c>
      <c r="N7" t="s">
        <v>157</v>
      </c>
      <c r="O7" t="s">
        <v>75</v>
      </c>
      <c r="P7">
        <v>20</v>
      </c>
      <c r="Q7">
        <v>60</v>
      </c>
      <c r="R7">
        <v>40</v>
      </c>
    </row>
    <row r="8" spans="1:19">
      <c r="A8" s="74" t="s">
        <v>155</v>
      </c>
      <c r="B8" s="74" t="s">
        <v>142</v>
      </c>
      <c r="C8">
        <v>25</v>
      </c>
      <c r="G8" t="s">
        <v>155</v>
      </c>
      <c r="H8" t="s">
        <v>140</v>
      </c>
      <c r="I8">
        <v>2</v>
      </c>
      <c r="J8">
        <v>2</v>
      </c>
      <c r="N8" t="s">
        <v>157</v>
      </c>
      <c r="O8" t="s">
        <v>76</v>
      </c>
      <c r="P8">
        <v>20</v>
      </c>
      <c r="Q8">
        <v>60</v>
      </c>
      <c r="R8">
        <v>40</v>
      </c>
    </row>
    <row r="9" spans="1:19">
      <c r="A9" s="74" t="s">
        <v>158</v>
      </c>
      <c r="B9" s="74" t="s">
        <v>136</v>
      </c>
      <c r="C9">
        <v>40</v>
      </c>
      <c r="D9">
        <v>60</v>
      </c>
      <c r="E9">
        <v>60</v>
      </c>
      <c r="G9" t="s">
        <v>155</v>
      </c>
      <c r="H9" t="s">
        <v>150</v>
      </c>
      <c r="I9">
        <v>1</v>
      </c>
      <c r="J9">
        <v>1</v>
      </c>
      <c r="N9" t="s">
        <v>157</v>
      </c>
      <c r="O9" t="s">
        <v>78</v>
      </c>
      <c r="P9">
        <v>20</v>
      </c>
      <c r="Q9">
        <v>60</v>
      </c>
      <c r="R9">
        <v>40</v>
      </c>
    </row>
    <row r="10" spans="1:19">
      <c r="A10" s="74" t="s">
        <v>158</v>
      </c>
      <c r="B10" s="74" t="s">
        <v>133</v>
      </c>
      <c r="E10">
        <v>80</v>
      </c>
      <c r="G10" t="s">
        <v>155</v>
      </c>
      <c r="H10" t="s">
        <v>107</v>
      </c>
      <c r="I10">
        <v>1</v>
      </c>
      <c r="J10">
        <v>1</v>
      </c>
    </row>
    <row r="11" spans="1:19">
      <c r="A11" s="74" t="s">
        <v>159</v>
      </c>
      <c r="B11" s="75" t="s">
        <v>85</v>
      </c>
      <c r="G11" t="s">
        <v>158</v>
      </c>
      <c r="H11" t="s">
        <v>145</v>
      </c>
      <c r="I11">
        <v>1.2</v>
      </c>
      <c r="J11">
        <v>2</v>
      </c>
    </row>
    <row r="12" spans="1:19">
      <c r="A12" s="74" t="s">
        <v>158</v>
      </c>
      <c r="B12" s="74" t="s">
        <v>101</v>
      </c>
      <c r="C12">
        <v>50</v>
      </c>
      <c r="D12">
        <v>50</v>
      </c>
      <c r="E12">
        <v>50</v>
      </c>
      <c r="G12" t="s">
        <v>155</v>
      </c>
      <c r="H12" t="s">
        <v>108</v>
      </c>
      <c r="I12">
        <v>2</v>
      </c>
      <c r="J12">
        <v>2</v>
      </c>
    </row>
    <row r="13" spans="1:19">
      <c r="A13" s="74" t="s">
        <v>157</v>
      </c>
      <c r="B13" s="75" t="s">
        <v>75</v>
      </c>
      <c r="G13" t="s">
        <v>158</v>
      </c>
      <c r="H13" t="s">
        <v>110</v>
      </c>
      <c r="I13">
        <v>1.75</v>
      </c>
      <c r="J13">
        <v>2</v>
      </c>
      <c r="K13" t="s">
        <v>135</v>
      </c>
    </row>
    <row r="14" spans="1:19">
      <c r="A14" s="74" t="s">
        <v>155</v>
      </c>
      <c r="B14" s="75" t="s">
        <v>76</v>
      </c>
      <c r="C14">
        <v>20</v>
      </c>
      <c r="D14">
        <v>60</v>
      </c>
      <c r="E14">
        <v>150</v>
      </c>
      <c r="G14" t="s">
        <v>158</v>
      </c>
      <c r="H14" t="s">
        <v>112</v>
      </c>
      <c r="I14">
        <v>1.75</v>
      </c>
      <c r="J14">
        <v>2</v>
      </c>
      <c r="K14" t="s">
        <v>135</v>
      </c>
    </row>
    <row r="15" spans="1:19">
      <c r="A15" s="74" t="s">
        <v>155</v>
      </c>
      <c r="B15" s="75" t="s">
        <v>89</v>
      </c>
      <c r="C15">
        <v>20</v>
      </c>
      <c r="D15">
        <v>60</v>
      </c>
      <c r="E15">
        <v>150</v>
      </c>
      <c r="G15" t="s">
        <v>155</v>
      </c>
      <c r="H15" t="s">
        <v>148</v>
      </c>
      <c r="I15">
        <v>2</v>
      </c>
      <c r="J15">
        <v>2</v>
      </c>
    </row>
    <row r="16" spans="1:19">
      <c r="A16" s="74" t="s">
        <v>155</v>
      </c>
      <c r="B16" s="75" t="s">
        <v>77</v>
      </c>
      <c r="G16" t="s">
        <v>158</v>
      </c>
      <c r="H16" t="s">
        <v>114</v>
      </c>
      <c r="I16">
        <v>0</v>
      </c>
      <c r="J16">
        <v>0</v>
      </c>
    </row>
    <row r="17" spans="1:11">
      <c r="A17" s="74" t="s">
        <v>155</v>
      </c>
      <c r="B17" s="75" t="s">
        <v>78</v>
      </c>
      <c r="G17" t="s">
        <v>158</v>
      </c>
      <c r="H17" t="s">
        <v>113</v>
      </c>
      <c r="I17">
        <v>0</v>
      </c>
      <c r="J17">
        <v>0</v>
      </c>
    </row>
    <row r="18" spans="1:11">
      <c r="A18" s="74" t="s">
        <v>158</v>
      </c>
      <c r="B18" s="75" t="s">
        <v>79</v>
      </c>
      <c r="D18">
        <v>100</v>
      </c>
      <c r="G18" t="s">
        <v>156</v>
      </c>
      <c r="H18" t="s">
        <v>153</v>
      </c>
    </row>
    <row r="19" spans="1:11">
      <c r="A19" s="74" t="s">
        <v>158</v>
      </c>
      <c r="B19" s="75" t="s">
        <v>80</v>
      </c>
      <c r="D19">
        <v>100</v>
      </c>
      <c r="G19" t="s">
        <v>156</v>
      </c>
      <c r="H19" t="s">
        <v>152</v>
      </c>
    </row>
    <row r="20" spans="1:11">
      <c r="A20" s="74" t="s">
        <v>159</v>
      </c>
      <c r="B20" s="75" t="s">
        <v>86</v>
      </c>
      <c r="G20" t="s">
        <v>157</v>
      </c>
      <c r="H20" t="s">
        <v>127</v>
      </c>
      <c r="I20">
        <v>0.6</v>
      </c>
      <c r="J20">
        <v>0.6</v>
      </c>
    </row>
    <row r="21" spans="1:11">
      <c r="A21" s="74" t="s">
        <v>158</v>
      </c>
      <c r="B21" s="74" t="s">
        <v>129</v>
      </c>
      <c r="E21">
        <v>180</v>
      </c>
      <c r="G21" t="s">
        <v>155</v>
      </c>
      <c r="H21" t="s">
        <v>128</v>
      </c>
      <c r="I21">
        <v>1</v>
      </c>
      <c r="J21">
        <v>1</v>
      </c>
    </row>
    <row r="22" spans="1:11">
      <c r="A22" s="74" t="s">
        <v>155</v>
      </c>
      <c r="B22" s="75" t="s">
        <v>81</v>
      </c>
      <c r="C22">
        <v>10</v>
      </c>
      <c r="D22">
        <v>15</v>
      </c>
      <c r="E22">
        <v>55</v>
      </c>
      <c r="G22" t="s">
        <v>158</v>
      </c>
      <c r="H22" t="s">
        <v>94</v>
      </c>
      <c r="I22">
        <v>1</v>
      </c>
      <c r="J22">
        <v>1</v>
      </c>
    </row>
    <row r="23" spans="1:11">
      <c r="A23" s="74" t="s">
        <v>155</v>
      </c>
      <c r="B23" s="75" t="s">
        <v>82</v>
      </c>
      <c r="C23">
        <v>10</v>
      </c>
      <c r="D23">
        <v>15</v>
      </c>
      <c r="E23">
        <v>55</v>
      </c>
      <c r="G23" t="s">
        <v>158</v>
      </c>
      <c r="H23" t="s">
        <v>131</v>
      </c>
      <c r="I23">
        <v>1</v>
      </c>
      <c r="J23">
        <v>2</v>
      </c>
    </row>
    <row r="24" spans="1:11">
      <c r="A24" s="74" t="s">
        <v>158</v>
      </c>
      <c r="B24" s="75" t="s">
        <v>83</v>
      </c>
      <c r="D24">
        <v>30</v>
      </c>
      <c r="G24" t="s">
        <v>157</v>
      </c>
      <c r="H24" t="s">
        <v>122</v>
      </c>
      <c r="I24">
        <v>2</v>
      </c>
      <c r="J24">
        <v>2</v>
      </c>
      <c r="K24" t="s">
        <v>123</v>
      </c>
    </row>
    <row r="25" spans="1:11">
      <c r="A25" s="74" t="s">
        <v>158</v>
      </c>
      <c r="B25" s="75" t="s">
        <v>84</v>
      </c>
      <c r="D25">
        <v>30</v>
      </c>
      <c r="G25" t="s">
        <v>157</v>
      </c>
      <c r="H25" t="s">
        <v>124</v>
      </c>
      <c r="I25">
        <v>2</v>
      </c>
      <c r="J25">
        <v>2</v>
      </c>
      <c r="K25" t="s">
        <v>175</v>
      </c>
    </row>
    <row r="26" spans="1:11">
      <c r="A26" s="74" t="s">
        <v>158</v>
      </c>
      <c r="B26" s="74" t="s">
        <v>114</v>
      </c>
      <c r="C26">
        <v>0</v>
      </c>
      <c r="D26">
        <v>0</v>
      </c>
      <c r="E26">
        <v>0</v>
      </c>
      <c r="G26" t="s">
        <v>155</v>
      </c>
      <c r="H26" t="s">
        <v>125</v>
      </c>
      <c r="I26">
        <v>2</v>
      </c>
      <c r="J26">
        <v>2</v>
      </c>
    </row>
    <row r="27" spans="1:11">
      <c r="A27" s="74" t="s">
        <v>158</v>
      </c>
      <c r="B27" s="74" t="s">
        <v>113</v>
      </c>
      <c r="C27">
        <v>0</v>
      </c>
      <c r="D27">
        <v>0</v>
      </c>
      <c r="E27">
        <v>0</v>
      </c>
      <c r="G27" t="s">
        <v>155</v>
      </c>
      <c r="H27" t="s">
        <v>96</v>
      </c>
      <c r="I27">
        <v>1</v>
      </c>
      <c r="J27">
        <v>1</v>
      </c>
      <c r="K27" t="s">
        <v>105</v>
      </c>
    </row>
    <row r="28" spans="1:11">
      <c r="A28" s="74" t="s">
        <v>155</v>
      </c>
      <c r="B28" s="76" t="s">
        <v>144</v>
      </c>
      <c r="C28">
        <v>7</v>
      </c>
      <c r="D28">
        <v>10</v>
      </c>
      <c r="E28">
        <v>40</v>
      </c>
      <c r="G28" t="s">
        <v>158</v>
      </c>
      <c r="H28" t="s">
        <v>126</v>
      </c>
      <c r="I28">
        <v>1.2</v>
      </c>
      <c r="J28">
        <v>2.5</v>
      </c>
      <c r="K28" t="s">
        <v>134</v>
      </c>
    </row>
    <row r="29" spans="1:11">
      <c r="A29" s="74" t="s">
        <v>155</v>
      </c>
      <c r="B29" s="76" t="s">
        <v>104</v>
      </c>
      <c r="C29">
        <v>25</v>
      </c>
      <c r="D29">
        <v>35</v>
      </c>
      <c r="E29">
        <v>60</v>
      </c>
      <c r="G29" t="s">
        <v>155</v>
      </c>
      <c r="H29" t="s">
        <v>109</v>
      </c>
      <c r="I29">
        <v>2</v>
      </c>
      <c r="J29">
        <v>2</v>
      </c>
    </row>
    <row r="30" spans="1:11">
      <c r="A30" s="74" t="s">
        <v>155</v>
      </c>
      <c r="B30" s="75" t="s">
        <v>98</v>
      </c>
      <c r="C30">
        <v>20</v>
      </c>
      <c r="D30">
        <v>60</v>
      </c>
      <c r="E30">
        <v>60</v>
      </c>
      <c r="G30" t="s">
        <v>158</v>
      </c>
      <c r="H30" t="s">
        <v>111</v>
      </c>
      <c r="I30">
        <v>1.75</v>
      </c>
      <c r="J30">
        <v>2</v>
      </c>
      <c r="K30" t="s">
        <v>135</v>
      </c>
    </row>
    <row r="31" spans="1:11">
      <c r="A31" s="74" t="s">
        <v>158</v>
      </c>
      <c r="B31" s="76" t="s">
        <v>146</v>
      </c>
      <c r="C31">
        <v>80</v>
      </c>
      <c r="D31">
        <v>80</v>
      </c>
      <c r="E31">
        <v>80</v>
      </c>
    </row>
    <row r="32" spans="1:11">
      <c r="A32" s="74" t="s">
        <v>155</v>
      </c>
      <c r="B32" s="75" t="s">
        <v>73</v>
      </c>
    </row>
    <row r="33" spans="1:5">
      <c r="A33" s="74" t="s">
        <v>158</v>
      </c>
      <c r="B33" s="75" t="s">
        <v>90</v>
      </c>
      <c r="D33">
        <v>100</v>
      </c>
    </row>
    <row r="34" spans="1:5">
      <c r="A34" s="74" t="s">
        <v>155</v>
      </c>
      <c r="B34" s="76" t="s">
        <v>92</v>
      </c>
      <c r="C34">
        <v>50</v>
      </c>
      <c r="D34">
        <v>100</v>
      </c>
      <c r="E34">
        <v>300</v>
      </c>
    </row>
    <row r="35" spans="1:5">
      <c r="A35" s="74" t="s">
        <v>158</v>
      </c>
      <c r="B35" s="75" t="s">
        <v>74</v>
      </c>
      <c r="D35">
        <v>100</v>
      </c>
    </row>
    <row r="36" spans="1:5">
      <c r="A36" s="74" t="s">
        <v>158</v>
      </c>
      <c r="B36" s="76" t="s">
        <v>91</v>
      </c>
      <c r="C36">
        <v>25</v>
      </c>
      <c r="D36">
        <v>35</v>
      </c>
      <c r="E36">
        <v>60</v>
      </c>
    </row>
    <row r="37" spans="1:5">
      <c r="A37" s="74" t="s">
        <v>157</v>
      </c>
      <c r="B37" s="76" t="s">
        <v>118</v>
      </c>
      <c r="C37">
        <v>0</v>
      </c>
      <c r="D37">
        <v>0</v>
      </c>
      <c r="E37">
        <v>0</v>
      </c>
    </row>
    <row r="38" spans="1:5">
      <c r="A38" s="74" t="s">
        <v>157</v>
      </c>
      <c r="B38" s="76" t="s">
        <v>119</v>
      </c>
      <c r="C38">
        <v>0</v>
      </c>
      <c r="D38">
        <v>0</v>
      </c>
      <c r="E38">
        <v>0</v>
      </c>
    </row>
    <row r="39" spans="1:5">
      <c r="A39" s="74" t="s">
        <v>157</v>
      </c>
      <c r="B39" s="76" t="s">
        <v>143</v>
      </c>
      <c r="C39">
        <v>50</v>
      </c>
      <c r="D39">
        <v>50</v>
      </c>
      <c r="E39">
        <v>50</v>
      </c>
    </row>
    <row r="40" spans="1:5">
      <c r="A40" s="74" t="s">
        <v>158</v>
      </c>
      <c r="B40" s="76" t="s">
        <v>100</v>
      </c>
      <c r="C40">
        <v>50</v>
      </c>
      <c r="D40">
        <v>50</v>
      </c>
      <c r="E40">
        <v>50</v>
      </c>
    </row>
    <row r="41" spans="1:5">
      <c r="A41" s="74" t="s">
        <v>155</v>
      </c>
      <c r="B41" s="76" t="s">
        <v>151</v>
      </c>
    </row>
    <row r="42" spans="1:5">
      <c r="A42" s="74" t="s">
        <v>158</v>
      </c>
      <c r="B42" s="76" t="s">
        <v>132</v>
      </c>
      <c r="C42">
        <v>25</v>
      </c>
      <c r="D42">
        <v>25</v>
      </c>
      <c r="E42">
        <v>25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3D183793538224BAD2F394083E27E89" ma:contentTypeVersion="13" ma:contentTypeDescription="Create a new document." ma:contentTypeScope="" ma:versionID="3535c88a8983f397f6919fe213e0a883">
  <xsd:schema xmlns:xsd="http://www.w3.org/2001/XMLSchema" xmlns:xs="http://www.w3.org/2001/XMLSchema" xmlns:p="http://schemas.microsoft.com/office/2006/metadata/properties" xmlns:ns3="521d18aa-c16f-4498-b28c-1f375aa29a38" xmlns:ns4="1de2615f-4aa3-484f-8178-b98636f878fe" targetNamespace="http://schemas.microsoft.com/office/2006/metadata/properties" ma:root="true" ma:fieldsID="e54b77385c9d2eb3fb456842cec1ec12" ns3:_="" ns4:_="">
    <xsd:import namespace="521d18aa-c16f-4498-b28c-1f375aa29a38"/>
    <xsd:import namespace="1de2615f-4aa3-484f-8178-b98636f878fe"/>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1d18aa-c16f-4498-b28c-1f375aa29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de2615f-4aa3-484f-8178-b98636f878fe"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C1A29A9-0362-4030-BC98-1DDD801539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1d18aa-c16f-4498-b28c-1f375aa29a38"/>
    <ds:schemaRef ds:uri="1de2615f-4aa3-484f-8178-b98636f878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8DA9413-4A28-4C3F-8C8E-321A4D3857F0}">
  <ds:schemaRefs>
    <ds:schemaRef ds:uri="http://schemas.microsoft.com/sharepoint/v3/contenttype/forms"/>
  </ds:schemaRefs>
</ds:datastoreItem>
</file>

<file path=customXml/itemProps3.xml><?xml version="1.0" encoding="utf-8"?>
<ds:datastoreItem xmlns:ds="http://schemas.openxmlformats.org/officeDocument/2006/customXml" ds:itemID="{38FEA7BA-8C6B-4F3B-96B9-C00E77DEF4EF}">
  <ds:schemaRefs>
    <ds:schemaRef ds:uri="http://purl.org/dc/terms/"/>
    <ds:schemaRef ds:uri="http://schemas.microsoft.com/office/2006/documentManagement/types"/>
    <ds:schemaRef ds:uri="http://purl.org/dc/dcmitype/"/>
    <ds:schemaRef ds:uri="http://schemas.openxmlformats.org/package/2006/metadata/core-properties"/>
    <ds:schemaRef ds:uri="http://purl.org/dc/elements/1.1/"/>
    <ds:schemaRef ds:uri="1de2615f-4aa3-484f-8178-b98636f878fe"/>
    <ds:schemaRef ds:uri="http://schemas.microsoft.com/office/infopath/2007/PartnerControls"/>
    <ds:schemaRef ds:uri="521d18aa-c16f-4498-b28c-1f375aa29a38"/>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CC PL Estimator</vt:lpstr>
      <vt:lpstr>CC Legacy PL Estimator</vt:lpstr>
      <vt:lpstr>Instructions - Background</vt:lpstr>
      <vt:lpstr>Hidden Background Parameters</vt:lpstr>
      <vt:lpstr>HiddenCable Background Material</vt:lpstr>
      <vt:lpstr>HiddenCAP Calc</vt:lpstr>
      <vt:lpstr>HiddenVoltage Drop Calc</vt:lpstr>
      <vt:lpstr>Scratch Data</vt:lpstr>
      <vt:lpstr>'CC Legacy PL Estimator'!Print_Area</vt:lpstr>
      <vt:lpstr>'CC PL Estimator'!Print_Area</vt:lpstr>
      <vt:lpstr>'Instructions - Background'!Print_Area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Kari Eythorsson</dc:creator>
  <cp:keywords/>
  <dc:description/>
  <cp:lastModifiedBy>Kari Eythorsson</cp:lastModifiedBy>
  <cp:revision/>
  <cp:lastPrinted>2020-03-26T00:25:18Z</cp:lastPrinted>
  <dcterms:created xsi:type="dcterms:W3CDTF">2019-09-12T17:16:05Z</dcterms:created>
  <dcterms:modified xsi:type="dcterms:W3CDTF">2022-09-20T11:04:33Z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0x01010003D183793538224BAD2F394083E27E89</vt:lpwstr>
  </property>
</Properties>
</file>